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720" activeTab="0"/>
  </bookViews>
  <sheets>
    <sheet name="Data" sheetId="1" r:id="rId1"/>
    <sheet name="Labels" sheetId="2" r:id="rId2"/>
  </sheets>
  <definedNames/>
  <calcPr fullCalcOnLoad="1"/>
</workbook>
</file>

<file path=xl/sharedStrings.xml><?xml version="1.0" encoding="utf-8"?>
<sst xmlns="http://schemas.openxmlformats.org/spreadsheetml/2006/main" count="11388" uniqueCount="1751">
  <si>
    <t>categorical</t>
  </si>
  <si>
    <t>number</t>
  </si>
  <si>
    <t>string</t>
  </si>
  <si>
    <t>categorical (dummy)</t>
  </si>
  <si>
    <t>numerical</t>
  </si>
  <si>
    <t>percent</t>
  </si>
  <si>
    <t>Main coder of the article</t>
  </si>
  <si>
    <t>Order the rows were originally in</t>
  </si>
  <si>
    <t>Publication identifier</t>
  </si>
  <si>
    <t>Year of publication</t>
  </si>
  <si>
    <t>Author(s) + year</t>
  </si>
  <si>
    <t>Number of female authors</t>
  </si>
  <si>
    <t>Number of authors</t>
  </si>
  <si>
    <t>First author female (=1)</t>
  </si>
  <si>
    <t>Title of publication</t>
  </si>
  <si>
    <t>Journal, book or other outlet of publication</t>
  </si>
  <si>
    <t>Full reference in APA style</t>
  </si>
  <si>
    <t>Number of citations in Google Scholar on August 17, 2018</t>
  </si>
  <si>
    <t>Country in which media coverage was studied</t>
  </si>
  <si>
    <t>Categorization of countries</t>
  </si>
  <si>
    <t>Political office under study</t>
  </si>
  <si>
    <t>Type of political office studied</t>
  </si>
  <si>
    <t xml:space="preserve">Level of the political office studied </t>
  </si>
  <si>
    <t>Primary or general election</t>
  </si>
  <si>
    <t>Electoral system of elected office (Source: www.idea.int)</t>
  </si>
  <si>
    <t>Type of electoral system of elected office</t>
  </si>
  <si>
    <t>Least squares index (LSq) of disproportionality according to Gallagher and Mitchell (2005), with updates from https://www.tcd.ie/Political_Science/people/michael_gallagher/ElSystems/index.php. Data from the year closest to begintime. For the United States, House figures (instead of figures on the presidential electoral college) were used. The year 1946 (closest year with available data) was used for US study starting in 1872. No data available for European Union elections. Reference: Gallagher, M., &amp; Mitchell, P. (Eds.). (2005). The politics of electoral systems. OUP Oxford.</t>
  </si>
  <si>
    <t>Effective number of parties at the electoral level (Eff Nv / ENEP) according to Gallagher and Mitchell (2005), with updates from https://www.tcd.ie/Political_Science/people/michael_gallagher/ElSystems/index.php. Data from the year closest to begintime. For the United States, House figures (instead of figures on the presidential electoral college) were used. The year 1946 (closest year with available data) was used for US study starting in 1872. No data available for European Union elections. Reference: Gallagher, M., &amp; Mitchell, P. (Eds.). (2005). The politics of electoral systems. OUP Oxford.</t>
  </si>
  <si>
    <t>Effective number of parties at the parliamentary or legislative level (Eff Ns / ENPP) according to Gallagher and Mitchell (2005), with updates from https://www.tcd.ie/Political_Science/people/michael_gallagher/ElSystems/index.php. Data from the year closest to begintime. For the United States, House figures (instead of figures on the presidential electoral college) were used. The year 1946 (closest year with available data) was used for US study starting in 1872. No data available for European Union elections. Reference: Gallagher, M., &amp; Mitchell, P. (Eds.). (2005). The politics of electoral systems. OUP Oxford.</t>
  </si>
  <si>
    <t>Number of seats in parliament/legislature according to Gallagher and Mitchell (2005), with updates from https://www.tcd.ie/Political_Science/people/michael_gallagher/ElSystems/index.php. Data from the year closest to begintime. For the United States, House figures (instead of figures on the presidential electoral college) were used. The year 1946 (closest year with available data) was used for US study starting in 1872. No data available for European Union elections. Reference: Gallagher, M., &amp; Mitchell, P. (Eds.). (2005). The politics of electoral systems. OUP Oxford.</t>
  </si>
  <si>
    <t>List of years in which coverage was studied, separated by comma's. Spread of years (e.g. 2006-2010) only if years were analysed continuously or if exact years in the period are not indicated.</t>
  </si>
  <si>
    <t>First year included in the study</t>
  </si>
  <si>
    <t>Last year included in the study</t>
  </si>
  <si>
    <t>Percentage of women in parliament (lower house if bicameral) at the national level in the first year under study, unless studied period is longer than ten years. Source: Archive of the Interparliamentary Union (from 1997) and wikipedia or worldbank (prior to 1997)</t>
  </si>
  <si>
    <t>Campaign coverage, routine time coverage, or both studied</t>
  </si>
  <si>
    <t>Type of content analysis: manual or automated</t>
  </si>
  <si>
    <t>Medium of the coverage that is coded by researchers</t>
  </si>
  <si>
    <t>Medium of the coverage that is coded by researchers. Coding of candidates' communication is not included here.</t>
  </si>
  <si>
    <t>Newspaper selection</t>
  </si>
  <si>
    <t>Types of newspapers covered</t>
  </si>
  <si>
    <t>What controls are included, either in design or in the analyses</t>
  </si>
  <si>
    <t>What kind of controls are included, either in design or in the analyses</t>
  </si>
  <si>
    <t>Name of female candidate if only one</t>
  </si>
  <si>
    <t>Number of countries</t>
  </si>
  <si>
    <t>Number of races</t>
  </si>
  <si>
    <t>Number of candidates</t>
  </si>
  <si>
    <t>Number of female candidates</t>
  </si>
  <si>
    <t>Number of newspapers or TV stations</t>
  </si>
  <si>
    <t>Number of articles / news stories</t>
  </si>
  <si>
    <t>Number of coded units</t>
  </si>
  <si>
    <t>N in analysis in final data-analysis</t>
  </si>
  <si>
    <t>Note: What is the coded unit (paragraph, etc.)?</t>
  </si>
  <si>
    <t>Note: What is the analyzed unit?</t>
  </si>
  <si>
    <t>Results on visibility in the news</t>
  </si>
  <si>
    <t>Description of researchers of this aspect of coverage</t>
  </si>
  <si>
    <t>Results on tone of coverage</t>
  </si>
  <si>
    <t>Results on amount of horse-race and/or viability coverage</t>
  </si>
  <si>
    <t>Results on assessment of viability by journalists in coverage</t>
  </si>
  <si>
    <t>Results on coverage of marital status, family life, family role, etc.</t>
  </si>
  <si>
    <t>Results on coverage of physique, appearance</t>
  </si>
  <si>
    <t>Results of coverage on (professional) background, experience, incumbency,  scandal etc.</t>
  </si>
  <si>
    <t>Results on the amount of trait coverage</t>
  </si>
  <si>
    <t>Results on the amount of issue coverage</t>
  </si>
  <si>
    <t>Results on issue coverage in line with stereotypical 'male' and 'female' issues</t>
  </si>
  <si>
    <t>Results on coverage in terms of stereotypical 'male' and 'female' traits</t>
  </si>
  <si>
    <t>Results on amount of leadership trait coverage</t>
  </si>
  <si>
    <t>Results on coverage including the mention of the sex of the politician</t>
  </si>
  <si>
    <t>Results on coverage of quotes</t>
  </si>
  <si>
    <t>Additional aspect of coverage coded by researchers</t>
  </si>
  <si>
    <t>Measure of visibility</t>
  </si>
  <si>
    <t>Results on visibility</t>
  </si>
  <si>
    <t>Mean visibility men</t>
  </si>
  <si>
    <t>Mean visibility women</t>
  </si>
  <si>
    <t>Share of female visibility of total visibility (F/(F+M))</t>
  </si>
  <si>
    <t>d' score: absolute difference in proportion of media attention</t>
  </si>
  <si>
    <t>Note on the visibility calculations</t>
  </si>
  <si>
    <t>Constant of regression analysis used in mean-scores</t>
  </si>
  <si>
    <t>Own calculation of mean scores per politician</t>
  </si>
  <si>
    <t>Own reconstruction, visibility not interpreted by authors or numbers to base it on not shown</t>
  </si>
  <si>
    <t>Data per race or per candidate?</t>
  </si>
  <si>
    <t>Proximity of election</t>
  </si>
  <si>
    <t>Electoral system</t>
  </si>
  <si>
    <t>Type of office (e.g., senator, governor)</t>
  </si>
  <si>
    <t>Type of period (e.g., midterm, term, routine, campaign)</t>
  </si>
  <si>
    <t>Geographical region</t>
  </si>
  <si>
    <t>Percentage of women in politics (legislatures, etc). Also gender equality in society</t>
  </si>
  <si>
    <t>Own campaign / communication</t>
  </si>
  <si>
    <t>Competitiveness / polling</t>
  </si>
  <si>
    <t>Incumbency (also incumbent - opposition during routine times)</t>
  </si>
  <si>
    <t>Campaign spending / fundraising</t>
  </si>
  <si>
    <t xml:space="preserve">Party ideology </t>
  </si>
  <si>
    <t>Party size </t>
  </si>
  <si>
    <t>Power position within office (e.g., speaker, party president, prestige of the ministry)</t>
  </si>
  <si>
    <t>List position</t>
  </si>
  <si>
    <t>Experience (e.g., prior years in office, other prior functions)</t>
  </si>
  <si>
    <t>Age of politician</t>
  </si>
  <si>
    <t>Political activity (e.g., legislative activities such as PQs. Not relevant during campaigns)</t>
  </si>
  <si>
    <t>Novelty (e.g., first woman candidate)</t>
  </si>
  <si>
    <t>Gender of opponent</t>
  </si>
  <si>
    <t>Measure of visibility, more specified model</t>
  </si>
  <si>
    <t>Results on visibility, more specified model</t>
  </si>
  <si>
    <t>Mean visibility men, more specified model</t>
  </si>
  <si>
    <t>Mean visibility women, more specified model</t>
  </si>
  <si>
    <t>Share of female visibility of total visibility (F/(F+M)), more specified model</t>
  </si>
  <si>
    <t>d' score: absolute difference in proportion of media attention, more specified model</t>
  </si>
  <si>
    <t>Note on the visibility calculations, more specified model</t>
  </si>
  <si>
    <t>Constant of regression analysis used in mean-scores, more specified model</t>
  </si>
  <si>
    <t>Own calculation of mean scores per politician, more specified model</t>
  </si>
  <si>
    <t>Own reconstruction, visibility not interpreted by authors or numbers to base it on not shown, more specified model</t>
  </si>
  <si>
    <t>Percentage of women in politics (legislatures, etc)</t>
  </si>
  <si>
    <t>Party ideology</t>
  </si>
  <si>
    <t>Party size (mostly not relevant in US)</t>
  </si>
  <si>
    <t>Novelty (e.g., first women candidate)</t>
  </si>
  <si>
    <t>original</t>
  </si>
  <si>
    <t>coder</t>
  </si>
  <si>
    <t>order</t>
  </si>
  <si>
    <t>id</t>
  </si>
  <si>
    <t>year</t>
  </si>
  <si>
    <t>authors</t>
  </si>
  <si>
    <t>authorsshort</t>
  </si>
  <si>
    <t>authorsfemale</t>
  </si>
  <si>
    <t>authorsnumber</t>
  </si>
  <si>
    <t>authorsfirstfemale</t>
  </si>
  <si>
    <t>title</t>
  </si>
  <si>
    <t>outlet</t>
  </si>
  <si>
    <t>outlettype</t>
  </si>
  <si>
    <t>reference</t>
  </si>
  <si>
    <t>citations</t>
  </si>
  <si>
    <t>country</t>
  </si>
  <si>
    <t>region</t>
  </si>
  <si>
    <t>office</t>
  </si>
  <si>
    <t>officetype</t>
  </si>
  <si>
    <t>officelevel</t>
  </si>
  <si>
    <t>electiontype</t>
  </si>
  <si>
    <t>electoralsystem</t>
  </si>
  <si>
    <t>electoralsystemtype</t>
  </si>
  <si>
    <t>disproportionality</t>
  </si>
  <si>
    <t>numberofparties_enep</t>
  </si>
  <si>
    <t>numberofparties_enpp</t>
  </si>
  <si>
    <t>numberofseats</t>
  </si>
  <si>
    <t>time</t>
  </si>
  <si>
    <t>begintime</t>
  </si>
  <si>
    <t>endtime</t>
  </si>
  <si>
    <t>femalerepresentation</t>
  </si>
  <si>
    <t>campaign</t>
  </si>
  <si>
    <t>method</t>
  </si>
  <si>
    <t>medium</t>
  </si>
  <si>
    <t>mediumtype</t>
  </si>
  <si>
    <t>newspaper</t>
  </si>
  <si>
    <t>newspapertype</t>
  </si>
  <si>
    <t>controls</t>
  </si>
  <si>
    <t>controltype</t>
  </si>
  <si>
    <t>namefemale</t>
  </si>
  <si>
    <t>n_countries</t>
  </si>
  <si>
    <t>n_races</t>
  </si>
  <si>
    <t>n_candidates</t>
  </si>
  <si>
    <t>n_femalecandidates</t>
  </si>
  <si>
    <t>n_outlets</t>
  </si>
  <si>
    <t>n_stories</t>
  </si>
  <si>
    <t>n_codedunits</t>
  </si>
  <si>
    <t>n_analysis</t>
  </si>
  <si>
    <t>codedunitsnote</t>
  </si>
  <si>
    <t>analyzedunitsnote</t>
  </si>
  <si>
    <t>r_visibility</t>
  </si>
  <si>
    <t>visibilitynote</t>
  </si>
  <si>
    <t>r_tone</t>
  </si>
  <si>
    <t>tonenote</t>
  </si>
  <si>
    <t>r_viability</t>
  </si>
  <si>
    <t>viabilitynote</t>
  </si>
  <si>
    <t>r_viabilityassessment</t>
  </si>
  <si>
    <t>viabilityassessmentnote</t>
  </si>
  <si>
    <t>r_family</t>
  </si>
  <si>
    <t>familynote</t>
  </si>
  <si>
    <t>r_appearance</t>
  </si>
  <si>
    <t>appearancenote</t>
  </si>
  <si>
    <t>r_background</t>
  </si>
  <si>
    <t>backgroundnote</t>
  </si>
  <si>
    <t>r_traitamount</t>
  </si>
  <si>
    <t>traitamountnote</t>
  </si>
  <si>
    <t>r_issueamount</t>
  </si>
  <si>
    <t>issueamountnote</t>
  </si>
  <si>
    <t>r_issuestereotypes</t>
  </si>
  <si>
    <t>issuestereotypesnote</t>
  </si>
  <si>
    <t>r_traitsstereotypes</t>
  </si>
  <si>
    <t>traitsstereotypesnote</t>
  </si>
  <si>
    <t>r_traitsleadership</t>
  </si>
  <si>
    <t>traitsleadershipnote</t>
  </si>
  <si>
    <t>r_mentiongender</t>
  </si>
  <si>
    <t>mentiongendernote</t>
  </si>
  <si>
    <t>r_quote</t>
  </si>
  <si>
    <t>quotenote</t>
  </si>
  <si>
    <t>addaspect</t>
  </si>
  <si>
    <t>vis_measure</t>
  </si>
  <si>
    <t>vis_results</t>
  </si>
  <si>
    <t>vis_meanmen</t>
  </si>
  <si>
    <t>vis_meanwomen</t>
  </si>
  <si>
    <t>vis_share</t>
  </si>
  <si>
    <t>vis_d</t>
  </si>
  <si>
    <t>vis_note</t>
  </si>
  <si>
    <t>robust_calculation</t>
  </si>
  <si>
    <t>robust_reconstruction</t>
  </si>
  <si>
    <t>control_race</t>
  </si>
  <si>
    <t>control_proximityelection</t>
  </si>
  <si>
    <t>control_electoralsystem</t>
  </si>
  <si>
    <t>control_typeofoffice</t>
  </si>
  <si>
    <t>control_period</t>
  </si>
  <si>
    <t>control_region</t>
  </si>
  <si>
    <t>control_femalerepresentation</t>
  </si>
  <si>
    <t>control_ownmessage</t>
  </si>
  <si>
    <t>control_cometitiveness</t>
  </si>
  <si>
    <t>control_incumbency</t>
  </si>
  <si>
    <t>control_fundraising</t>
  </si>
  <si>
    <t>control_party</t>
  </si>
  <si>
    <t>control_partysize</t>
  </si>
  <si>
    <t>control_powerposition</t>
  </si>
  <si>
    <t>control_listposition</t>
  </si>
  <si>
    <t>control_experience</t>
  </si>
  <si>
    <t>control_age</t>
  </si>
  <si>
    <t>control_activity</t>
  </si>
  <si>
    <t>control_novelty</t>
  </si>
  <si>
    <t>control_genderopponent</t>
  </si>
  <si>
    <t>control_newspaperposition</t>
  </si>
  <si>
    <t>control_newspapertype</t>
  </si>
  <si>
    <t>control_newspapersize</t>
  </si>
  <si>
    <t>control_genderauthor</t>
  </si>
  <si>
    <t>visalt_measure</t>
  </si>
  <si>
    <t>visalt_results</t>
  </si>
  <si>
    <t>visalt_meanmen</t>
  </si>
  <si>
    <t>visalt_meanwomen</t>
  </si>
  <si>
    <t>visalt_share</t>
  </si>
  <si>
    <t>visalt_d</t>
  </si>
  <si>
    <t>visalt_note</t>
  </si>
  <si>
    <t>robustalt_calculation</t>
  </si>
  <si>
    <t>robustalt_reconstruction</t>
  </si>
  <si>
    <t>controlalt_proximityelection</t>
  </si>
  <si>
    <t>controlalt_electoralsystem</t>
  </si>
  <si>
    <t>controlalt_typeofoffice</t>
  </si>
  <si>
    <t>controlalt_period</t>
  </si>
  <si>
    <t>controlalt_region</t>
  </si>
  <si>
    <t>controlalt_femalerepresentation</t>
  </si>
  <si>
    <t>controlalt_ownmessage</t>
  </si>
  <si>
    <t>controlalt_cometitiveness</t>
  </si>
  <si>
    <t>controlalt_incumbency</t>
  </si>
  <si>
    <t>controlalt_fundraising</t>
  </si>
  <si>
    <t>controlalt_party</t>
  </si>
  <si>
    <t>controlalt_partysize</t>
  </si>
  <si>
    <t>controlalt_powerposition</t>
  </si>
  <si>
    <t>controlalt_listposition</t>
  </si>
  <si>
    <t>controlalt_experience</t>
  </si>
  <si>
    <t>controlalt_age</t>
  </si>
  <si>
    <t>controlalt_activity</t>
  </si>
  <si>
    <t>controlalt_novelty</t>
  </si>
  <si>
    <t>controlalt_genderopponent</t>
  </si>
  <si>
    <t>1. Part of original set</t>
  </si>
  <si>
    <t>1. First author</t>
  </si>
  <si>
    <t>Kahn and Goldenberg (1991)</t>
  </si>
  <si>
    <t>Women Candidates in the News: An Examination of Gender Differences in the U/S/ Senate Campaign Coverage</t>
  </si>
  <si>
    <t>Public Opinion Quarterly</t>
  </si>
  <si>
    <t>1. Journal article</t>
  </si>
  <si>
    <t>Kahn, K. F., &amp; Goldenberg, E. N. (1991). Women candidates in the news: An examination of gender differences in US Senate campaign coverage. Public opinion quarterly, 55(2), 180-199.</t>
  </si>
  <si>
    <t>United States</t>
  </si>
  <si>
    <t>1. United States</t>
  </si>
  <si>
    <t>Senate</t>
  </si>
  <si>
    <t>2. Legislative</t>
  </si>
  <si>
    <t>2. National</t>
  </si>
  <si>
    <t>1. General election</t>
  </si>
  <si>
    <t>Plurality/Majority  FPTP  1  435  435  FPTP (Electoral System Family  | Electoral System for National Legislature | Number of tiers | Legislative size (directly elected) | Legislative size (Voting members) | Electoral system for the president | Source: www.idea.int )</t>
  </si>
  <si>
    <t>1. Plurality/Majority</t>
  </si>
  <si>
    <t>1982, 1984, 1986</t>
  </si>
  <si>
    <t>1. Campaign</t>
  </si>
  <si>
    <t>1. Manual content analysis</t>
  </si>
  <si>
    <t>Newspapers</t>
  </si>
  <si>
    <t>1. Newspapers</t>
  </si>
  <si>
    <t>The newspaper with the largest circulation in each state in the sample was analyzed</t>
  </si>
  <si>
    <t>4. Unknown</t>
  </si>
  <si>
    <r>
      <t>Incumbent (challenger, open), competitiveness</t>
    </r>
    <r>
      <rPr>
        <b/>
        <sz val="11"/>
        <color indexed="8"/>
        <rFont val="Calibri"/>
        <family val="2"/>
      </rPr>
      <t>. Control for incumbency and competitiveness by splitting out.</t>
    </r>
  </si>
  <si>
    <t>2. Incumbency, competitiveness, standing in the poll, type of seat, party, etc.</t>
  </si>
  <si>
    <t>NA</t>
  </si>
  <si>
    <t>.</t>
  </si>
  <si>
    <t>26; 7086</t>
  </si>
  <si>
    <t>Paragraphs by candidate (meaning that a paragraph can me coded for multiple candidates). The total number is not mentioned, but the number of paragraphs coded with male candidates is 5708 and with female candidates 1378 (adding up to 7086).</t>
  </si>
  <si>
    <t>For visibility analysis the race is the level of analysis, for substance of coverage the coded unit (paragraph) is the unit of analysis. Sometimes 'articles' are also mentioned as the unit, but it is unclear whether this refers to a higher level than paragraphs.</t>
  </si>
  <si>
    <t>2. Men more, non-significant or unknown significance</t>
  </si>
  <si>
    <t>Quantity of coverage, amount of coverage, press attention. Note: P-value is below .10 in one-sided test (left p: 0.0517; two sided: 0.1034). For the split sample analyses (competitive races against non-competittive races), the differences are not significant at any level. The author interpret the differences as substantive and significant for the reason given in footnote 5: "Although measures of statistical significance are not entirely appropriate here because the sample is not a random sample from a larger population (i.e., the entire population has been examined for female incumbents and female candidates in open races), statisti- cal significance is reported in the tables because they provide a rough guide for interpret- ing the importance of the reported differences. In addition, because our sample of races is necessarily small, we will treat as probably meaningful some differences that do not reach conventional levels of significance. 6. For data analysis, races were initially divided"</t>
  </si>
  <si>
    <t>9. NA, article does not inspect this aspect of media coverage</t>
  </si>
  <si>
    <t>1. Women more viability coverage, significant</t>
  </si>
  <si>
    <t>Horserace coverage includes any discussion of a candidate's chances of winning, including comparisons of the two candidates' organizations, discussion of poll results, and discussion of the candidates' performance in campaign debates.</t>
  </si>
  <si>
    <t>1. Men considered more viable, significant</t>
  </si>
  <si>
    <t>Every press assessment of a candidate's viability was rated on a scale from 1 to 4, with 1 indicating "sure loser," 2 indicating "somewhat competitive," 3 indicating "competitive," and 4 indicating "likely winner." In addition, the researchers inspected mentions of lack of campaign resources, which they found in 10% of articles discussing female candidates, and 5% of those discussing men.</t>
  </si>
  <si>
    <t>4. Equal</t>
  </si>
  <si>
    <t>Note: P-value is below .10 in one-sided test (left p: 0.0957; two sided: 0.1914).</t>
  </si>
  <si>
    <t>1. Men more on male issues, women more on female issues, significant</t>
  </si>
  <si>
    <t>"Male" issues include foreign policy, defense spending, arms control, foreign trade, farm issues, and the economy; "female" issues include day-care, helping the poor, education, health care, women's rights, drug abuse, and the environment.</t>
  </si>
  <si>
    <t>1. Men more on male traits, women more on female traits, significant</t>
  </si>
  <si>
    <t>"Male" traits include the following: independent, objective, competitive, strong leader, insensitive, aggressive, unemotional, ambitious, and tough. "Female" traits include the following: dependent, noncompetitive, passive, gentle, emotional, weak leader, and compassionate. On the amount of trait coverage, the research find that men and women candidates receive equal amounts (13% and 14% respectively).</t>
  </si>
  <si>
    <t>Number of paragraphs published each day, all male races compared to races with female candidate (further split out by competitiveness of the race). Note: at race level, so observed gender effect should arguably be twice as big at the candidate level (only maximally half the candidates were female in the races)</t>
  </si>
  <si>
    <t>All male races: 38.4 (sd 13.5, N 15); races with female 29.6 (sd 12.3, N 11). </t>
  </si>
  <si>
    <t>1. Per race</t>
  </si>
  <si>
    <t>0. No control</t>
  </si>
  <si>
    <t>1. Control by design</t>
  </si>
  <si>
    <t>1. Control by design, e.g., no party lists because single-member district</t>
  </si>
  <si>
    <t>Alternative (more specified) results taking competitiveness of the race into account: Competitive all men races score 41.3, competitive races with a woman 35.5. Therefore, the relative visibility of women is 0.47 and the d' score for competitive races is -0.06. Non-competitive all men races score 30.6, non-competitive races with a woman 21.3. Therefore, the relative visibility of women is 0.41 and the d' score for non-competitive races is -0.17. The weighted mean (by number of observations, 16 for competitive races and 10 for non-competitive races) d' score is -0.10505.</t>
  </si>
  <si>
    <t>-0.10505</t>
  </si>
  <si>
    <t>0. Per candidate</t>
  </si>
  <si>
    <t>3. Statistical control</t>
  </si>
  <si>
    <t>Kahn (1994)</t>
  </si>
  <si>
    <t>The Distorted Mirror: Press Coverage of Women Candidates for Statewide Office</t>
  </si>
  <si>
    <t>Journal of Politics</t>
  </si>
  <si>
    <t>Kahn, K. F. (1994). The distorted mirror: Press coverage of women candidates for statewide office. The Journal of Politics, 56(1), 154-173.</t>
  </si>
  <si>
    <t>1982-1988</t>
  </si>
  <si>
    <t>Newspapers, TV ads</t>
  </si>
  <si>
    <t>The newspapers chosen for analysis were whenever possible those with the largest circulation in the state</t>
  </si>
  <si>
    <r>
      <t xml:space="preserve">Incumbent, competitiveness, </t>
    </r>
    <r>
      <rPr>
        <b/>
        <sz val="11"/>
        <color indexed="8"/>
        <rFont val="Calibri"/>
        <family val="2"/>
      </rPr>
      <t>own message candidates. Control for incumbency and competitiveness by splitting out, control for own message by comparing.</t>
    </r>
  </si>
  <si>
    <t>3. Both candidate communication and incumbency etc.</t>
  </si>
  <si>
    <t>Quantity of coverage, amount of coverage, press attention. Note: P-value is below .10 in one-sided test (left p: 0.0517; two sided: 0.1034).The author explains in footnote 15: "This difference is not statistically significant (p &lt; .10). Although the sample of candidates ex- amined here does not represent a random sample from a larger population, statistical tests have been provided since the candidates can be conceptualized as a sample representing a larger theoretical popu- lation of candidates."</t>
  </si>
  <si>
    <t>Horserace coverage includes any discussion of a candidate's chances of winning, including comparisons of the candidates' organizations, discussion of poll results, and discussion of the candidates' performance in campaign debates</t>
  </si>
  <si>
    <t>Press viability assessments were rated on a denotes "competitive," 2 denotes "somewhat competitive," and 1 denotes "sure loser."</t>
  </si>
  <si>
    <t>"Policy is defined as any reference to a candidate's issue positions or issue concerns. For example, if an article describes Senator Alan Cranston's concern about the drug problem-even if no mention is made of Cranston's specific suggestions regarding the problem-the article would be counted as mentioning Cranston's concern about the drug issue." Four comarisons are made (all, incumbents, challengers, opne races), men receive more issue coverage in all (though the difference within open races is negligible), but not difference is significant.</t>
  </si>
  <si>
    <t>5. Men more on male issues, women more on female issues, mixed significance</t>
  </si>
  <si>
    <t>"Male" issues include foreign policy, defense spending, arms control, foreign trade, farm issues, and the economy; "female" issues include day-care, helping the poor, education, health care, women's rights, drug abuse, and the environment. Difference on male issues between male and female candidates is not significant, the difference on female issues is.</t>
  </si>
  <si>
    <t>"Male" traits include the following: independent, objective, competitive, strong leader, insensitive, aggressive, unemotional, ambitious, and tough. "Female" traits include the following: dependent, noncompetitive, passive, gentle, emotional, weak leader, and compassionate. Difference on "male" traits between men and women is significant, difference on "female" traits is not.</t>
  </si>
  <si>
    <r>
      <rPr>
        <u val="single"/>
        <sz val="11"/>
        <color indexed="8"/>
        <rFont val="Calibri"/>
        <family val="2"/>
      </rPr>
      <t>Number of paragraphs</t>
    </r>
    <r>
      <rPr>
        <sz val="11"/>
        <color theme="1"/>
        <rFont val="Calibri"/>
        <family val="2"/>
      </rPr>
      <t xml:space="preserve"> a </t>
    </r>
    <r>
      <rPr>
        <u val="single"/>
        <sz val="11"/>
        <color indexed="8"/>
        <rFont val="Calibri"/>
        <family val="2"/>
      </rPr>
      <t>week</t>
    </r>
    <r>
      <rPr>
        <sz val="11"/>
        <color theme="1"/>
        <rFont val="Calibri"/>
        <family val="2"/>
      </rPr>
      <t>, candidate level. Senators, same data as 1991 article.</t>
    </r>
  </si>
  <si>
    <r>
      <t xml:space="preserve">Senate: </t>
    </r>
    <r>
      <rPr>
        <b/>
        <sz val="11"/>
        <color indexed="8"/>
        <rFont val="Calibri"/>
        <family val="2"/>
      </rPr>
      <t>95</t>
    </r>
    <r>
      <rPr>
        <sz val="11"/>
        <color theme="1"/>
        <rFont val="Calibri"/>
        <family val="2"/>
      </rPr>
      <t xml:space="preserve"> vs </t>
    </r>
    <r>
      <rPr>
        <b/>
        <sz val="11"/>
        <color indexed="8"/>
        <rFont val="Calibri"/>
        <family val="2"/>
      </rPr>
      <t>79</t>
    </r>
    <r>
      <rPr>
        <sz val="11"/>
        <color theme="1"/>
        <rFont val="Calibri"/>
        <family val="2"/>
      </rPr>
      <t xml:space="preserve"> (sd ?, N 26) . Results also in incumbents only, or competitive only races.</t>
    </r>
  </si>
  <si>
    <t>Results are also included in Kahn and Goldenberg (1991) therefore are coded as missing here. In this study, the results are reported per candidate and not per race (as in the other study), but the results are almost identical.</t>
  </si>
  <si>
    <t>Governor</t>
  </si>
  <si>
    <t>1. Executive</t>
  </si>
  <si>
    <t>3. Sub-national (state, regional or provincial)</t>
  </si>
  <si>
    <t>max 21</t>
  </si>
  <si>
    <t>42; 6780</t>
  </si>
  <si>
    <t>Paragraphs by candidate (meaning that a paragraph can me coded for multiple candidates). The total number is not mentioned, but the number of paragraphs coded with male candidates is 5219 and with female candidates 1561 (adding up to 6780).</t>
  </si>
  <si>
    <t>3. Equal</t>
  </si>
  <si>
    <t xml:space="preserve">Quantity of coverage, amount of coverage, press attention. </t>
  </si>
  <si>
    <t>Press viability assessments were rated on a denotes "competitive," 2 denotes "somewhat competitive," and 1 denotes "sure loser." Difference is significant if the number of articles on horse-race framing is taken as the N in the calculation, it is not significant if the number of candidates is taken as the N (taking both into account would be best).</t>
  </si>
  <si>
    <t>"Policy is defined as any reference to a candidate's issue positions or issue concerns. For example, if an article describes Senator Alan Cranston's concern about the drug problem-even if no mention is made of Cranston's specific suggestions regarding the problem-the article would be counted as mentioning Cranston's concern about the drug issue." Note: overall, men are mentioned more with issues, but in open seat Gubernatorial races, women get more issue coverage, though the difference is insignificant. Only the difference between male and female challengers is significant (in favor of men, p&lt;0.01). However, the overall difference is not significant.</t>
  </si>
  <si>
    <t>8. Women more on male issues, men more on female issues, mixed significance</t>
  </si>
  <si>
    <t>"Male" issues include foreign policy, defense spending, arms control, foreign trade, farm issues, and the economy; "female" issues include day-care, helping the poor, education, health care, women's rights, drug abuse, and the environment. Difference on "female" issues is statistically significant, while that on "male" issues is not. Both differences could be reflections of the candidates' gubernatorial campaigns, in which men candidates discuss "female" issues more, and women candidates discuss "male" issues more.</t>
  </si>
  <si>
    <t>13. No differences</t>
  </si>
  <si>
    <t>"Male" traits include the following: independent, objective, competitive, strong leader, insensitive, aggressive, unemotional, ambitious, and tough. "Female" traits include the following: dependent, noncompetitive, passive, gentle, emotional, weak leader, and compassionate. Coverage is equal for men and women candidates, but this does not reflect the candidates' own communication: female gubernatorial candidates talk more on "male" issues, and male gubernatorial cnadidates talk more on "female" issues.</t>
  </si>
  <si>
    <r>
      <rPr>
        <u val="single"/>
        <sz val="11"/>
        <color indexed="8"/>
        <rFont val="Calibri"/>
        <family val="2"/>
      </rPr>
      <t>Number of paragraphs</t>
    </r>
    <r>
      <rPr>
        <sz val="11"/>
        <color theme="1"/>
        <rFont val="Calibri"/>
        <family val="2"/>
      </rPr>
      <t xml:space="preserve"> a </t>
    </r>
    <r>
      <rPr>
        <u val="single"/>
        <sz val="11"/>
        <color indexed="8"/>
        <rFont val="Calibri"/>
        <family val="2"/>
      </rPr>
      <t>week</t>
    </r>
    <r>
      <rPr>
        <sz val="11"/>
        <color theme="1"/>
        <rFont val="Calibri"/>
        <family val="2"/>
      </rPr>
      <t>, candidate level.</t>
    </r>
  </si>
  <si>
    <r>
      <t xml:space="preserve">Governor: both </t>
    </r>
    <r>
      <rPr>
        <b/>
        <sz val="11"/>
        <color indexed="8"/>
        <rFont val="Calibri"/>
        <family val="2"/>
      </rPr>
      <t>113</t>
    </r>
  </si>
  <si>
    <t>Heldman, Caroll and Olson (2005)</t>
  </si>
  <si>
    <t>Heldman et al. (2005)</t>
  </si>
  <si>
    <t>"She Brought Only a Skirt": Print Media Coverage of Elizabeth Dole's Bid for the Republican Presidential Nomination</t>
  </si>
  <si>
    <t>Political Communication</t>
  </si>
  <si>
    <t>Heldman, C., Carroll, S. J., &amp; Olson, S. (2005). “She brought only a skirt”: print media coverage of Elizabeth Dole's bid for the Republican presidential nomination. Political Communication, 22(3), 315-335.</t>
  </si>
  <si>
    <t>Rep. Primary</t>
  </si>
  <si>
    <t>2. Primary election</t>
  </si>
  <si>
    <t>Newspapers (sample each 25th article of 'major papers' category in LexisNexis with search string of leader names)</t>
  </si>
  <si>
    <t>Major Papers section of Lexis-Nexis (which includes
more than 70 daily newspapers from across the nation)</t>
  </si>
  <si>
    <t>Standing in the polls, controlled by comparing informally.</t>
  </si>
  <si>
    <t>Elizabeth Dole</t>
  </si>
  <si>
    <t>Articles by candidate (meaning that an article can me coded for multiple candidates).</t>
  </si>
  <si>
    <t>1. Men more, significant</t>
  </si>
  <si>
    <t>Press coverage, less overall coverage, etc. Measured by percentage of articles in which a candidate is mentioned, and percentage of articles which are more than 1/4 about the candidate. Dole received significantly less coverage than George W. Bush and John McCain, but (insignificantly) more than Gary Bauer, Stve Forbes and Alan Keyes. She was standing second in the polls.</t>
  </si>
  <si>
    <t>Tone of candidate mentions in headlines. Bush, Forbes, and Dole each received about the same proportion of negative headline mentions (ranging from 27% to 29%). In addition, the researchers also consider the tone of the trait coverage candidates receive, finding no clear gendered pattern.</t>
  </si>
  <si>
    <t>Horse-race coverage. Articles were coded for their main focus, then the researchers compared for politicians which percentages of the articles they appeared in were mainly about horse-race. Dole was featured more in articles on horse-race than Bush and McCain. However, the researchers also looked at more specific discussions of candidates within articles, and with this way of looking they found similar coverage for Bush and Dole.</t>
  </si>
  <si>
    <t>3. Men considered more viable, unknown significance</t>
  </si>
  <si>
    <t>"Dole’s horse-race coverage typically described her as a losing candidate with little chance of gaining the nomination, whereas Bush was almost exclusively described as the inevitable victor. Similar to horse-race coverage, most mentions of Dole’s fund raising noted her lack of ability to raise the necessary funds to launch a full-scale presidential campaign in contrast to positive articles on this topic about Bush." However, while the researchers find Dole's horse-race coverage more negative in their assessment of her, they find no gender differences in coverage questioning the candidates' substance, or criticising the candidate's campaign.</t>
  </si>
  <si>
    <t>Family, spouse, mention of family, etc. Bush' family (mostly his father) was mentioned more than Dole's family, artciles on McCain refered less often to his family, articles on Forbes equally often.</t>
  </si>
  <si>
    <t>1. Women more appearance coverage, significant</t>
  </si>
  <si>
    <t>Appearance, how she looked, etc. Significantly more coverage on this for Dole than for Bush and McCain.</t>
  </si>
  <si>
    <t>Issues, issues discussed in the campaign, issue coverage. Measured as percentage of coverage of a candidate that is about a specific issue.</t>
  </si>
  <si>
    <t>14. NA, article does not inspect this aspect of media coverage</t>
  </si>
  <si>
    <t>NA. Without measured comparison to coverage of men candidates: Mentions of gender and "First women" frame. Most journalists did choose to comment on Dole’s gender; 63.9% of all stories in the in-depth Dole data set made explicit reference to the fact that she was a woman. Moreover, almost half (45.8%) of the in-depth stories employed a “first woman” frame in writing about Elizabeth Dole’s candidacy.</t>
  </si>
  <si>
    <t>Proportion of newspaper stories covering a candidate; second measure proportion with extensive coverage of candidate (more than 25% of article)</t>
  </si>
  <si>
    <t>Bauer 8.8, Bush 72.9 Dole 19.7 Forbes 15.9, Keyes 3.1 McCain 33.0 (N articles 421). Mean for men 26.7, mean for Dole 19.7. Overall mean: 25.57.</t>
  </si>
  <si>
    <t>1. Control by design through informal selection of 'comparable' candidates</t>
  </si>
  <si>
    <t>Aday and Devitt (2001)</t>
  </si>
  <si>
    <t>Style over Substance: Newspaper Coverage of Elizabeth Dole's Presidential Bid</t>
  </si>
  <si>
    <t>International Journal of Press/Politics</t>
  </si>
  <si>
    <t>Aday, S., &amp; Devitt, J. (2001). Style over substance: Newspaper coverage of Elizabeth Dole's presidential bid. Harvard International Journal of Press/Politics, 6(2), 52-73.</t>
  </si>
  <si>
    <t>5 Newspapers</t>
  </si>
  <si>
    <t>Des Moines Register, New York Times, Los Angeles Times, USA Today, Washington Post. Three months of coverage.</t>
  </si>
  <si>
    <t>1. Broadsheet / quality</t>
  </si>
  <si>
    <t>No formal controls. Informally compare results with knowlegde on the candidate's own campaign and the issues she stressed.</t>
  </si>
  <si>
    <t>5. None</t>
  </si>
  <si>
    <t>Paragraphs by candidate (meaning that a paragraph can me coded for multiple candidates). The total number of coded paragraphs is 3899 (reconstructued from Table 1), the number of coded paragraph-candidate combinations is 3080.</t>
  </si>
  <si>
    <t>Paragraphs by candidate (meaning that a paragraph can me coded for multiple candidates).</t>
  </si>
  <si>
    <t>Quantity of coverage, less newspaper coverage, prominent place on the news agenda, etc.</t>
  </si>
  <si>
    <t xml:space="preserve">Dole received significantly more personal coverage than her male colleagues. When it is studied which type of personal coverage the candidates received, the significance is no longer tested, but it includes age, appearance, background/qualifications, family/marital status, and personality. As a percentage of the personal coverage, Dole received more family coverage than 1 male candidate and less than 2 others. </t>
  </si>
  <si>
    <t>3. Women more appearance coverage, unknown significance</t>
  </si>
  <si>
    <t xml:space="preserve">Dole received significantly more personal coverage than her male colleagues. When it is studied which type of personal coverage the candidates received, the significance is no longer tested, but it includes age, appearance, background/qualifications, family/marital status, and personality. As a percentage of the personal coverage, Dole received more appearence coverage than the 3 male candidates, but it was a very low percentage of the total personal coverage. </t>
  </si>
  <si>
    <t>5. Men more background coverage, unknown significance</t>
  </si>
  <si>
    <t xml:space="preserve">Dole received significantly more personal coverage than her male colleagues. When it is studied which type of personal coverage the candidates received, the significance is no longer tested, but it includes age, appearance, background/qualifications, family/marital status, and personality. As a percentage of the personal coverage, Dole received more age coverage than the 3 male candidates (but it was a very low percentage of the total personal coverage) and less background coverage (which is for all candidates the largest category of personal coverage). </t>
  </si>
  <si>
    <t>3. Women more trait coverage, unknown significance</t>
  </si>
  <si>
    <t xml:space="preserve">Dole received significantly more personal coverage than her male colleagues. When it is studied which type of personal coverage the candidates received, the significance is no longer tested, but it includes age, appearance, background/qualifications, family/marital status, and personality. As a percentage of the personal coverage, Dole received more personality coverage than 2 male candidates and less than 1 other. </t>
  </si>
  <si>
    <t>1. Men more issue coverage, significant</t>
  </si>
  <si>
    <t>Issues, issue- or policy-based, policy positions, plans, etc.</t>
  </si>
  <si>
    <t>1. Women quoted less often, significant</t>
  </si>
  <si>
    <t xml:space="preserve">Dole was quoted directly less often compared to her male opponents, while her speech was paraphrased at a higher rate (differenced are significant). </t>
  </si>
  <si>
    <t>The overall difference in personal coveage is significant: Dole received (in total) more personal coverage than her male opponents. In addition, the researcher inspect whether differences in reporting are larger for male than for female reporters. They find that differences are much larger for male reporters than female reporters.</t>
  </si>
  <si>
    <t>Propotion of paragraphs devoted to candidate of articles on the top four candidates.</t>
  </si>
  <si>
    <t>Bush 52.5; Dole 20; McCain 13.5; Forbes 9.8. Overall mean 23.95</t>
  </si>
  <si>
    <t>Devitt (2002)</t>
  </si>
  <si>
    <t>Framing Gender on the Campaign Trail: Female Gubernatorial Candidates and the Press</t>
  </si>
  <si>
    <t>Journalism &amp; Mass Communication Quarterly</t>
  </si>
  <si>
    <t>Devitt, J. (2002). Framing gender on the campaign trail: Female gubernatorial candidates and the press. Journalism &amp; Mass Communication Quarterly, 79(2), 445-463.</t>
  </si>
  <si>
    <t>6 newspapers</t>
  </si>
  <si>
    <t xml:space="preserve">The analysis included campaign coverage of six daily newspapers: the Arizona Republic (Arizona), the Boston Globe (Rhode Island), the Denver Post (Colorado), the Rocky Mountain News (Colorado),t he Providence Journal-Bulletin (Rhode Island), and the Wash- ington Post (Maryland). </t>
  </si>
  <si>
    <t>Incumbency is controlled for by design: one female incumbent, two female challengers and one open seat is selected.</t>
  </si>
  <si>
    <t>Paragraphs with a coded 'frame'. Two opponents may appear in the same paragraph, in which cases it appears to be coded for both (not entirely clear though).</t>
  </si>
  <si>
    <t>Quantity of coverage, amount of coverage, proportion of coverage.</t>
  </si>
  <si>
    <t>Strategy coverage: strategic or horse-race descriptions of the candidate--e.g., whether or not the candidate was ahead, the tactics the candidate used to get votes, and where the candidate campaigned (strategy frame).. No significant differences were found in the proportion of strategy coverage.</t>
  </si>
  <si>
    <t>1. Women more background coverage, significant</t>
  </si>
  <si>
    <t>Personal coverage: their personal or professional background (personal frame). "female candidates [..] received more personal coverage (17.3% vs. 12.1%)", but per state differences were less pronounced: "In personal coverage, these differences disappeared in two of the four races studied"</t>
  </si>
  <si>
    <t>Issue coverage: paragraphs described candidates by their positions or actions on public policy issues (issue frame). "As shown in Table 2, female candidates received less issue coverage than did their male counterparts (28.9% vs. 33.8%)". But per state results are less strong: "In all but one campaign, Colorado, the differences in issue coverage for female and male candidates disappeared."</t>
  </si>
  <si>
    <t>Proportion of paragraphs (searchstring candidate names + governor words)</t>
  </si>
  <si>
    <t>Women: 52.3%, 50.7%, 47.7%, 43.7%. Men: 47.7%, 49.3%, 52.3%, 56.3%. Mean women=48.6%; mean men=51.4. Mean women over all articles: 48.3%; Mean men over all articles 51.7%.</t>
  </si>
  <si>
    <t>Smith (1997)</t>
  </si>
  <si>
    <t>When All’s Fair: Signs of Parity in Media Coverage of female Candidates</t>
  </si>
  <si>
    <t>Smith, K. B. (1997). When all's fair: Signs of parity in media coverage of female candidates. Political Communication, 14(1), 71-82.</t>
  </si>
  <si>
    <t>Senate, governor</t>
  </si>
  <si>
    <t>3. Executive and legislative</t>
  </si>
  <si>
    <t>5. Combination of federal, national and/or sub-national level</t>
  </si>
  <si>
    <t>Copies of the largest-circulation newspaper in the state that covered the campaign were coded for each of the 40 days prior to the November 8 election</t>
  </si>
  <si>
    <t>Controls are: Incumbency, newspaper endorsement, sex of author, proximity of the election, standing in the polls, democratic incumbent, size of newspaper.</t>
  </si>
  <si>
    <t>Days by candidate in a pooled time series.</t>
  </si>
  <si>
    <t>Quantity of coverage. "the number of column inches a candidate received in a given day’s newspaper"</t>
  </si>
  <si>
    <t>7. Women more positive, significant</t>
  </si>
  <si>
    <t>Overall tone of coverage. "when male candidates dominated coverage, that coverage was more likely to be negative. This finding may be due to nothing more than peculiarities of the 1994 campaigns."</t>
  </si>
  <si>
    <t>"Horserace coverage includes relative standings in polls, campaign finances, and campaign organiz ation. In a number of races, money was a prominent coverage topic. When females dominated coverage, there was about 36 inches of horserace coverage. Although this gap does fit with earlier research findings that the media put more emphasis on the competitive aspects of campaigning for female candidates, the difference was statistically insignificant (t score of .86, one-tailed test)."</t>
  </si>
  <si>
    <t>Issue coverage: "I defined issue from a policy perspective, as a purposive course of action or inaction by government". "On days when females dominated coverage, about 11 column inches were devoted to issue coverage. When male candidates received more attention, it was 9 column inches. There is no significant difference between these means (t score of .85, one-tailed test). Still, even a finding of no significant difference here represents an advance for female candidates and a shift from previously reported patterns."</t>
  </si>
  <si>
    <t>Not clearly classified into "male" and "female" issues. However, the author inspects the rank ordering of issues mentioned, and the same issues are most frequently mentioned for both sexes. "Issue coverage was also roughly equal."</t>
  </si>
  <si>
    <t>Number of column inches devoted to a candidate in each day's newspaper, without controls (models with controls do not calculate marginals).</t>
  </si>
  <si>
    <t>Male mean: 14.97 (N=11); female mean: 15 (N=11).</t>
  </si>
  <si>
    <t>2. Not part of original set</t>
  </si>
  <si>
    <t>Lühiste and Banducci (2016)</t>
  </si>
  <si>
    <t>Invisible women? Explaining the Gender Gap in Candidates News Media Coverage</t>
  </si>
  <si>
    <t>Politics &amp; Gender</t>
  </si>
  <si>
    <t>Lühiste, M., &amp; Banducci , S. (2016). Invisible women? Comparing candidates’ news coverage in Europe. Politics &amp; Gender, 12(2), 223-253.</t>
  </si>
  <si>
    <t>EU: 25 countries</t>
  </si>
  <si>
    <t>2. Europe</t>
  </si>
  <si>
    <t>European parliament</t>
  </si>
  <si>
    <t>1. Supranational</t>
  </si>
  <si>
    <t>Proportional representation (Party Lists and Single Transferable Vote depending on country)</t>
  </si>
  <si>
    <t>3. Proportional Representation</t>
  </si>
  <si>
    <t>EES media data: TV and newspapers</t>
  </si>
  <si>
    <t>3. Both newspapers and TV</t>
  </si>
  <si>
    <t>at least three newspapers (two “quality” and one tabloid) per country</t>
  </si>
  <si>
    <t>3. Both</t>
  </si>
  <si>
    <t>Incumbency, list position (viability), type of proportional system: open list, ordered list and closed list.</t>
  </si>
  <si>
    <t>News items for TV are the coded unit, for newspapers articles. "With regard to story selection for television, all news items have been coded. For newspapers, due to the number of stories in a daily newspaper, a smaller sample was drawn. All news items on the front page and all news items on one randomly selected page were coded. In addition, in order to capture all news about the elections, all stories pertaining particularly to the EU and/or the EU election on any other page of the newspaper have been coded (within political/news, editorial/opinion/comment, and business/economy sections) (Schuck et al. 2010)."</t>
  </si>
  <si>
    <t>Candidates. Data are censored (not all candidates are in the content analysis dataset), number of censored candidated is 7133 and number of uncensored candidates is 528. Tone analysis is based on 270 cases of candidates with an actor code and at least some media coverage.</t>
  </si>
  <si>
    <t>Media attention, amount of coverage. "Since the number of news stories covering MEP candidates varies from one country to another, we generated a standardized measure of candidate coverage by calculating the proportion of times a candidate was mentioned against the total number of times MEP candidates were mentioned in the news media in a given country (share of media coverage) and use this as the main dependent variable."</t>
  </si>
  <si>
    <t>5. Women more positive, unknown significance</t>
  </si>
  <si>
    <t>"The tone of coverage of candidates is measured by asking raters how “favorably or unfavorably is the MEP (actor) evaluated (regardless of the source) from his/her own perspective (i.e., from the perspective of the candidate)?” The coders are trained that this evaluation must be explicit and should be expressed in terms that are clearly positive or negative judgements (e.g., “good,” “promising,” “ominous,” “disappointing”). Responses range from negative to positive on a five-point scale with a mixed or balanced evaluation being the midpoint. Where evaluations are not explicit, coding of tone is not made." Women were more likely to be evaluated, but their evaluations were equally positive and negative, while those for men were more often negative. Significance not reported for these results.</t>
  </si>
  <si>
    <t>The authors consider voting system as a moderator to gender effects.</t>
  </si>
  <si>
    <t>Percentage of coverage candidates received of total in country.</t>
  </si>
  <si>
    <t>Coefficient for gender 1.26 (Table 1), so women receive 1.26% less media attention. Average media attention per candidate can be calculated, as there are 25 countries with each 100% media attention and 528 candidates getting media attention in total. Thus per candidate attention (of those getting attention) is 4.735 (100*25/528). 124 of the 528 candidates is female, and as they receive 1.26% less attention than men, average for women should be 3.77 (4.735-(528-124)/528*1.26). 404 of the 528 candidates is male, so average for men should be 5.03 (4.735+(528-404)/528*1.26)</t>
  </si>
  <si>
    <t>NB: Regression coefficients used to calculate d' score.</t>
  </si>
  <si>
    <t>2. Statistical control</t>
  </si>
  <si>
    <t>Percentage of coverage candidates received of total of country</t>
  </si>
  <si>
    <t>Coefficient for gender -1.41 (Table 2). These results are only in list systems, therefore taking more specific controls for list systems into account. Average media attention per candidate can be calculated, as there are 20 countries with each 100% media attention and 328 candidates getting media attention in total. Thus per candidate attention (of those getting attention) is 6.098 (100*20/328). 82 of the 328 candidates is female, and as they receive 1.41% less attention than men, average for women should be 3.77 (6.098-(328-82)/328*1.41). 246 of the 328 candidates is male, so average for men should be 5.03 (6.098+(328-246)/328*1.41)</t>
  </si>
  <si>
    <t>Regression results used, means reconstructed from totals and number of candidates</t>
  </si>
  <si>
    <t xml:space="preserve">4. Statistical control maximal (interval) </t>
  </si>
  <si>
    <t>Jalalzai (2006)</t>
  </si>
  <si>
    <t>Women Candidates and the Media: 1992-2000 Elections</t>
  </si>
  <si>
    <t>Politics and Policy</t>
  </si>
  <si>
    <t>Jalalzai, F. (2006). Women Candidates and the Media: 1992‐2000 Elections. Politics &amp; Policy, 34(3), 606-633.</t>
  </si>
  <si>
    <t>1992, 1994, 1996, 1998, 2000</t>
  </si>
  <si>
    <t>Newspapers (newspaper with highest circulation in the state)</t>
  </si>
  <si>
    <t>Each race chosen was paired with the newspaper with the highest circulation in the state where the election was held.</t>
  </si>
  <si>
    <t>Paragraphs within newspaper articles. Probably paragraphs can be coded for both candidates if both are mentioned.</t>
  </si>
  <si>
    <t>Results give averages per week, e.g. the share of paragraphs devoted to issues published per week per candidate.</t>
  </si>
  <si>
    <t>4. Women more, non-significant or unknown significance</t>
  </si>
  <si>
    <t>Quantity of coverage. "A paragraph is considered to be about a candidate if it mentions the candidate at least once." "As a whole, current findings do not demonstrate that women running for either senatorial or gubernatorial office receive less media attention than men. If anything, women generally receive more coverage, which is in line with the expectation that women’s coverage has improved."</t>
  </si>
  <si>
    <t>"An article is considered devoted to the horserace if it includes any references to a candidate with regard to the following: strength of campaign organization, poll results, debate performance, and overall likelihood of winning." "Clearly, women running for the Senate during this time period are no longer consistently subjected to more horserace coverage than men."</t>
  </si>
  <si>
    <t>7. Women considered more viable, significant</t>
  </si>
  <si>
    <t>"viability or strength. If a candidate is portrayed as weak, this may influence election outcomes" "Between 1992 and 2000, women senatorial candidates as a whole receive higher viability ratings than men (see Table 5)."</t>
  </si>
  <si>
    <t>"Between 1992 and 2000, women running for the Senate have overall slightly more issue paragraphs published about them per week than men, although differences are not statistically significant."</t>
  </si>
  <si>
    <t>9. Men more on male issues, women more on female issues, unknown significance</t>
  </si>
  <si>
    <t>"issues are coded “female”: child care, unemployment, welfare, poverty, healthcare, education, women’s and minority rights, gun control, drug abuse, and the environment. Male issues include foreign policy and other international issues, defense, economics and finance, agriculture, and crime. Not all issues have an obvious gender stereotype associated with them and are thus considered gender-neutral. Some examples of gender-neutral issues include campaign finance reform, transportation, gambling, and religion."</t>
  </si>
  <si>
    <t>Average number of paragraphs published each week (mentions candidate at least once).</t>
  </si>
  <si>
    <t xml:space="preserve">Overall senatorial: men 41, women 70. </t>
  </si>
  <si>
    <t>Most basic results. Results are also split out by competititveness and seat type, see alternative results</t>
  </si>
  <si>
    <t>Table 3. Results are split out by competitive versus noncompetitive races, and by incumbents, challengers and open races. Visibility for men and women are reported seperately for these groups, but the exact N per group is not reported. Therefore, d' scores are calculated per group, and averaged assuming equal group sizes. Competitive, m 46, f 51, so d' 0.052. Noncompetitive, m 22, f 28, d' 0.120. Incumbents, m 44, f 41, d' -0.035. Challengers, m 23, f 36, d' 0.220. Open race, m 67, f 81, d' 0.095. Avergae d' by competitiveness 0.086, average d' by seat incumbency 0.093, average of both is 0.089.</t>
  </si>
  <si>
    <t>1993, 1994, 1996, 1997, 1998, 2000</t>
  </si>
  <si>
    <t>"An article is considered devoted to the horserace if it includes any references to a candidate with regard to the following: strength of campaign organization, poll results, debate performance, and overall likelihood of winning." "At
the gubernatorial level, there is no difference between the percentage of horserace articles for men and women"</t>
  </si>
  <si>
    <t>"viability or strength. If a candidate is portrayed as weak, this may influence election outcomes" "when analyzing viability ratings for candidates running for governor: men consistently receive higher viability ratings than women, particularly as candidates in open races."</t>
  </si>
  <si>
    <t>6. Women more issue coverage, mixed significance</t>
  </si>
  <si>
    <t>"Turning to candidates running for governor, women consistently receive more issue paragraphs published per week than men, although only for incumbents are differences statistically significant."</t>
  </si>
  <si>
    <t>Overall Gubernatorial: men 82, women 103.</t>
  </si>
  <si>
    <t>Table 3. Results are split out by competitive versus noncompetitive races, and by incumbents, challengers and open races. Visibility for men and women are reported seperately for these groups, but the exact N per group is not reported. Therefore, d' scores are calculated per group, and averaged assuming equal group sizes. Competitive, m 84, f 102, so d' 0.097. Noncompetitive, m 11, f empty, d' unknown. Incumbents, m 83, f 163, d' 0.325. Challengers, m 90, f 81, d' -0.053. Open race, m 82, f 83, d' 0.006. Average d' over incumbency 0.093, average d' overall 0.095.</t>
  </si>
  <si>
    <t>Kittilson and Fridkin (2008)</t>
  </si>
  <si>
    <t>Kittelson and Fridkin (2008)</t>
  </si>
  <si>
    <t>Gender, Candidate Portrayals and Election Campaigns: A Comparative Perspective</t>
  </si>
  <si>
    <t>Kittilson, M. C., &amp; Fridkin, K. (2008). Gender, candidate portrayals and election campaigns: A comparative perspective. Politics &amp; Gender, 4(3), 371-392.</t>
  </si>
  <si>
    <t>House/senate</t>
  </si>
  <si>
    <t>1 newspaper per country (three broadsheet dailies: the Toronto Star,
Sydney Morning Herald, and New York Times)</t>
  </si>
  <si>
    <t>New York Times (through Access World News)</t>
  </si>
  <si>
    <t>No controls</t>
  </si>
  <si>
    <t>Articles by candidates ("Each candidate mentioned in each article is a separate observation in our data set")</t>
  </si>
  <si>
    <t>Amount and prominence of candidate coverage.</t>
  </si>
  <si>
    <t>Tone of coverage.</t>
  </si>
  <si>
    <t>Viability coverage is operationalized as "horse race" paragraphs. "the amount of attention given to the candidates’ viability"</t>
  </si>
  <si>
    <t>"focus on the candidates’ family background"</t>
  </si>
  <si>
    <t>"“male” issues as the economy, business, taxes, energy/oil, trade, employment/jobs, defense, international organizations, nuclear arms control, treaties, and foreign affairs, and “female” issues as women’s rights, gender quotas, abortion, HIV/AIDS, violence against women, gay rights, women in elected office, education, health, welfare, environment, care for the elderly, child care, parental leave, and pensions"</t>
  </si>
  <si>
    <t>"Female traits include: gentle, honest, weak, weak leader, attractive, passive, emotional, uninformed, unintelligent, compassionate, noncompetitive, and dependent. Male traits include hardworking, untrustworthy, strong leader, strong, vital, competitive, effective, tough, intelligent, aggressive, knowledgeable, independent, and ambitious."</t>
  </si>
  <si>
    <r>
      <t xml:space="preserve">Unclear: only mentioned in text that no differences are found, results are not displayed. The text does mention how many candidates are mentioned at all (verses never mentioned in the newspapers): Can 106m 42w; Aus 74m 30w, US 146m 41w. This makes is possible to calculate the </t>
    </r>
    <r>
      <rPr>
        <u val="single"/>
        <sz val="11"/>
        <color indexed="20"/>
        <rFont val="Calibri"/>
        <family val="2"/>
      </rPr>
      <t>share of candidates receiving any media attention</t>
    </r>
    <r>
      <rPr>
        <sz val="11"/>
        <color indexed="20"/>
        <rFont val="Calibri"/>
        <family val="2"/>
      </rPr>
      <t>. Extra sources used to gauge the total number of men and women candidates competing: CAWP 2006 report and wikipedia (only Republican and Democratic candidates counted).</t>
    </r>
  </si>
  <si>
    <t>Women candidates mentioned: 41. Men candidates mentioned: 146 (p380). The total of women candidates competing for Senate or House seats in the US in 2006 was 151 (only Republican and Democratic candidates counted, sources are CAWP 2006 report and wikipedia), the same number for men was 748.</t>
  </si>
  <si>
    <t>Emailed authored, orginial data not available.</t>
  </si>
  <si>
    <t>Canada</t>
  </si>
  <si>
    <t>3. Other English speaking country</t>
  </si>
  <si>
    <t>Plurality/Majority  FPTP  1  338  338  Not applicable (Electoral System Family  | Electoral System for National Legislature | Number of tiers | Legislative size (directly elected) | Legislative size (Voting members) | Electoral system for the president | Source: www.idea.int)</t>
  </si>
  <si>
    <t>Toronto Star (through Access World News)</t>
  </si>
  <si>
    <t>Unclear: only mentioned in text that no differences are found, results are not displayed. The text does mention how many candidates are mentioned at all (verses never mentioned in the newspapers): Can 106m 42w; Aus 74m 30w, US 146m 41w. This makes is possible to calculate the share of candidates receiving media attention. Extra sources used to gauge the total number of men and women candidates competing: http://www.abc.net.au/elections/federal/2004/guide/candidateindex.htm Candidates of the two biggest parties (Australian Labor Party and Liberal Party) were coded as male or female, based on the first name, and internet searches if necessary.</t>
  </si>
  <si>
    <t>Women candidates mentioned: 30. Men candidates mentioned: 74 (p380). The total of women candidates competing for Senate or House seats in the Australia in 2004 was 93, the same number for men was 231 (only ALP and LIB counted).</t>
  </si>
  <si>
    <t>Australia</t>
  </si>
  <si>
    <t>Plurality/Majority  AV  1  150  150  Not applicable (Electoral System Family  | Electoral System for National Legislature | Number of tiers | Legislative size (directly elected) | Legislative size (Voting members) | Electoral system for the president | Source: www.idea.int)</t>
  </si>
  <si>
    <t>Sydney Morning Herald (through Access World News)</t>
  </si>
  <si>
    <t>Unclear: only mentioned in text that no differences are found, results are not displayed. The text does mention how many candidates are mentioned at all (verses never mentioned in the newspapers): Can 106m 42w; Aus 74m 30w, US 146m 41w. This makes is possible to calculate the share of candidates receiving media attention. Source for totals of men and women candidates running for major parties: Rekkas, M. (2008). Gender and elections: An examination of the 2006 Canadian federal election. Canadian Journal of Political Science/Revue canadienne de science politique, 41(4), 987-1001.</t>
  </si>
  <si>
    <t>Women candidates mentioned: 42. Men candidates mentioned: 106 (p380). The total of women candidates competing in 2006 Canadian election was 248, the same number for men was 751 (major parties).</t>
  </si>
  <si>
    <t>Atkeson and Krebs (2008)</t>
  </si>
  <si>
    <t>Press Coverage of Mayoral Candidates. The Role of Gender in News Reporting and Campaign Issue Speech</t>
  </si>
  <si>
    <t>Political Research Quarterly</t>
  </si>
  <si>
    <t>Atkeson, L. R., &amp; Krebs, T. B. (2008). Press coverage of mayoral candidates: The role of gender in news reporting and campaign issue speech. Political Research Quarterly, 61(2), 239-252.</t>
  </si>
  <si>
    <t>Mayors</t>
  </si>
  <si>
    <t>4. Local</t>
  </si>
  <si>
    <t>Plurality/Majority FPTP. Exact methods of election may differ per municipality.</t>
  </si>
  <si>
    <t>2000-2003</t>
  </si>
  <si>
    <t>1 newspaper per race</t>
  </si>
  <si>
    <t>One local newspaper per mayoral race: Plain-Dealer, Free Press, Morning News, Chronicle, Bee, Post-Intelligencer for respectively Cleveland, Detroit, Dallas, Houston, Sacramento, Seattle.</t>
  </si>
  <si>
    <t>Control by design: all non-partisan, open-seat, competetive races.</t>
  </si>
  <si>
    <t>Paragraphs</t>
  </si>
  <si>
    <t>Paragraphs by race (mixed gender race or male-only race)</t>
  </si>
  <si>
    <t>Overall attention given to each candidate.</t>
  </si>
  <si>
    <t>Mentions of candidate electability, horserace issues, horserace coverage.</t>
  </si>
  <si>
    <t>Electability scoring, evaluated the electability chances.</t>
  </si>
  <si>
    <t>2. Women more family coverage, mixed significance</t>
  </si>
  <si>
    <t>Falls under 'personal issues (family/appearance)', which are seen as one of the 'female issues'. Note therefore that it is unknown whether the result is driven by differences in coverage on family or on appearance. Personal issues (family/appearance) are seen as one of the 'female issues'. "Female eventual winners had greater media coverage of family and appearance issues than male eventual winners." Note that this is a comparison of the male winner in a male-male race with a female winner in a female-male race. Differences within male-female race between the female winner and the male loser were not significant.</t>
  </si>
  <si>
    <t>2. Women more appearance coverage, mixed significance</t>
  </si>
  <si>
    <t>6. Men more background coverage, mixed significance</t>
  </si>
  <si>
    <t>The authors also inspect coverage on candidate qualifications, as expressed by coverage on endorsements and experience. The findings provide some support for that women receive less coverage on their qualifications. In male-male races, the winner got 3.54% experience paragraphs and the loser 2.85%. In Female-male races, the winner (i.e. the female) got 3.29% experience paragraphs, and the loser (i.e. the male) got 3.14%. So 'controlling for' winner status, women seem to get less experience coverage. The difference between male and female winners is not significant, and the difference between the winner and the loser in the female-male race also is not. The difference between the winner and the loser in the male-male race is significant.
The authors write (p.245): "in the experience variable, we found that while there was no difference in coverage of the experience of the candidates when a female was present on the ballot, for the all-male races, there was a significant difference, with greater coverage of the qualifications of the eventual winner. The fact that in the intragender race the loser received less coverage of his experience than in the intergender race plus the fact that the female candidates received on average significantly less endorsement coverage than her losing opponent, while in the intragender race coverage of endorsements was equal, provides some support for the hypothesis that women get less general coverage of their qualifications and their supporters as expressed through endorsements."</t>
  </si>
  <si>
    <t>NA. Note: it is possible to derive this from the results on 'male' and 'female' issues, by adding these up. That suggest equal amounts of issue coverage for men and women candidates.</t>
  </si>
  <si>
    <t>Male issues: Economic development, Infrastructure/transportation, Crime, management. Female issues: Education, Social welfare, Quality of life, Personal issues (family/appearance). On some issues there are differences, some in line with stereotypes, some counter, so "[b]ecause we are looking at quite a large number of issue areas, and given that we have only one exception to our finding, the weight of evidence favors the interpretation that within race context news reports equally focus on the same issues for both the eventual winner and loser regardless of candidate gender." However, in races with a female candidate, 'female' issues were discussed more (linked to both candidates), so it seems that women do broaden the campaign agenda.</t>
  </si>
  <si>
    <t xml:space="preserve">The researcher do not say which traits they coded as 'male' and 'female', but they do mention when discussing prior research: " male personality traits (e.g., toughness, leadership skills, intelligence) [..] female traits (e.g., honesty, compassion), especially in Senate races". Note, all male race produces significantly more discussion of male traits than a female-male race generally (but in the latter case, this goes for both the male and the female candidate). </t>
  </si>
  <si>
    <t>Percentage of paragraphs, comparing within race, which gives two comparisons: winner (f) compared to loser (m) in 3 mixed races, and winner (f) in 3 mixed races compared to winner (m) in 3 male-only races.</t>
  </si>
  <si>
    <t>Winner in male-male races: 32.44. Loser in male-male races: 31.98. Winner (f) in female male races: 36.75. Loser (m) in female-male races: 37.33. Based on the totals of this (mm race 64.42, fm race 74.18, winners 69.29 and losers 69.31), the expected numbers for each is (chi2 -style): Winner in male-male races: 32.21 (69.29*64.42/(64.42+74.18)). Loser in male-male races: 32.21 (69.31*64.42/(64.42+74.18)). Winner (f) in female male races: 37.08 (69.29*74.18/(64.42+74.18)). Loser (m) in female-male races: 37.10 (69.31*74.18/(64.42+74.18)). Numbers used here are observed divided by expected: f: 36.75/37.08; m: (32.44/32.21 + 31.98/32.21 + 37.33/37.10)/3.</t>
  </si>
  <si>
    <t>2. Control by design through matched sample</t>
  </si>
  <si>
    <t>Bystrom, Robertson and Banwart (2001)</t>
  </si>
  <si>
    <t>Bystrom et al. (2001)</t>
  </si>
  <si>
    <t>Framing the Fight. An Analysis of Media Coverage of Female and Male Candidates in Primary Races for Governor and U.S. Senate in 2000</t>
  </si>
  <si>
    <t>American Behavioral Scientist</t>
  </si>
  <si>
    <t>Bystrom, D. G., Robertson, T. A., &amp; Banwart, M. C. (2001). Framing the fight: An analysis of media coverage of female and male candidates in primary races for governor and US Senate in 2000. American Behavioral Scientist, 44(12), 1999-2013.</t>
  </si>
  <si>
    <t>Senate and governor primaries</t>
  </si>
  <si>
    <t>The newspapers with the largest circulation, as identified by the Audit Bureau of Circulation, from each respective state.</t>
  </si>
  <si>
    <t>No formal controls, but control by design for party (primaries, so within party contests)</t>
  </si>
  <si>
    <t>Articles</t>
  </si>
  <si>
    <t>Articles, which can be female-focused or male-focused</t>
  </si>
  <si>
    <t>5. Women more, significant</t>
  </si>
  <si>
    <t>Quantity and dominant focus</t>
  </si>
  <si>
    <t>Neutral, positive, or negative coverage; favorable or unfavorable coverage. Most coverage is neutral; women receive more positive coverage than men (14.1% vs 6.4%), as well as less negative coverage (18.7% vs 23.6%). Significance is not caculated over these differences.</t>
  </si>
  <si>
    <t>Viability of the candidate, viable contenders for office.</t>
  </si>
  <si>
    <t>1. Women more family coverage, significant</t>
  </si>
  <si>
    <t>Reference to the candidates children occurred significantly more often in female-focused articles; marital statusof the female candidates was made natation of significantly more often.</t>
  </si>
  <si>
    <t>Discussed in terms of appearance, as part of the image presented.</t>
  </si>
  <si>
    <t>NA. Note: it is possible to derive this from the results on the separate issues. For by far most issues the coverage is about equal, though there are five issues which are mentioned more in male-focused articles. One issue is mentioned more in female-focused articles.</t>
  </si>
  <si>
    <t>The researchers do not categorize the issues as "male" or "female", but report them seperately. Differences are small and not to be significant. The exception is five issues which occurred significantly more in male-focused articles: health-care, dissatisfaction with the government, unemployment, the cost of living, and poverty. One topic -international issues- was mentioned more often with female candidates.</t>
  </si>
  <si>
    <t>1. Men more leadership coverage, significant</t>
  </si>
  <si>
    <t xml:space="preserve">Images attributed to candidates. The images with significantly more coverage for men are: personal tone, address audience as peers, voice of the state, candidate honesty, calling for change, and candidate endorsements. Equal coverage occured on: appearance, personality, warmth, and competence. Female were covered more, but not significantly so, on: toughness, attack opponent, candidate accomplishments and cite personal experiences. Men were covered more, but not significantly so, on: activity, invite participation, emphasize optimism, use expert authorities, and mention incumbency.
</t>
  </si>
  <si>
    <t>1. Women more mention of their gender, significant</t>
  </si>
  <si>
    <t>Mention of the sex of the candidate, happens significantly more often for female candidates.</t>
  </si>
  <si>
    <t xml:space="preserve">Two measures: prominent focus of article and percentage of articles mentioning candidate, leading to same conclusion. Latter used here. </t>
  </si>
  <si>
    <t xml:space="preserve">683 of the 707 articles (96.6%) mentioned the woman and 529 (74.8%) men­
tioned the man, x2 (1, N = 707) = 8.126, p &lt; .004.
</t>
  </si>
  <si>
    <t>Banwart, Bystrom and Robertson (2003)</t>
  </si>
  <si>
    <t>Banwart et al. (2003)</t>
  </si>
  <si>
    <t>From the primary to the general election. A comparative analysis of candidate media coverage in mixed-gender 2000 races for governor and U.S. Senate</t>
  </si>
  <si>
    <t>Banwart, M. C., Bystrom, D. G., &amp; Robertson, T. (2003). From the primary to the general election: A comparative analysis of candidate media coverage in mixed-gender 2000 races for governor and US Senate. American Behavioral Scientist, 46(5), 658-676.</t>
  </si>
  <si>
    <t>Senate, governor; comparing primary and general</t>
  </si>
  <si>
    <t>Newspapers were chosen based on large circulation and their availability online.</t>
  </si>
  <si>
    <t>No formal controls. Informally compare results with knowlegde on the candidate's own campaign.</t>
  </si>
  <si>
    <t>Quantity and dominant focus. Significance not reported, but likely significant, as it is in the other study using these data.</t>
  </si>
  <si>
    <t>3. Men more issue coverage, unknown significance</t>
  </si>
  <si>
    <t>Note: this is a combined results for the primary and general election, which are otherwise coded seperately. "A higher percentage of male candidate–focused articles did contain issuerelated discussion, with 99 (50.3%) articles overall containing feminine issue discussion and 108 (54.8%) articles overall containing masculine issue discussion."</t>
  </si>
  <si>
    <t>"the issues were collapsed into the categories of “feminine” issues (i.e., health care, education, poverty, the environment) and “masculine” issues (i.e., taxes, the budget, crime, defense)". Female focused coverage of primaries is 41.3% about female issues, and 40.0% about 'masculine' issues; the male focused coverage is for 45.8% about 'masculine' issues. It is unclear from the text what percentage of male focused articles is about female issues. These differences are small, and therefore coded as equal coverage.</t>
  </si>
  <si>
    <t>NA, Images are discussed, but only very generally and only comparing primary and general elections, not comparing coverage of men and women.</t>
  </si>
  <si>
    <t>The researchers also inspected how often the sex of the candidate is mentioned, and this happens significantly more often for women.</t>
  </si>
  <si>
    <t xml:space="preserve">The purpose of the article is to compare primary and general election coverage. </t>
  </si>
  <si>
    <t>Two measures: prominent focus of article and percentage of articles mentioning candidate, leading to same conclusion. Latter used here. Primary results are also reported in Bystrom, Robertson and Banwart (2001).</t>
  </si>
  <si>
    <t>683 (96.6%) primary election race articles mentioned female candidates and 529 (74.8%) primary election articles mentioned male candidates.</t>
  </si>
  <si>
    <t>Result not taken into account here because already reported in Bystrom, Robertson and Banwart (2001).</t>
  </si>
  <si>
    <t>Quantity and dominant focus. Most articles focus equally on both candidates, but there are more articles which solely focus on the female candidate than solely on the male candidate.</t>
  </si>
  <si>
    <t>Neutral, positive, or negative coverage; favorable or unfavorable coverage. Most coverage is neutral; women receive more positive coverage than men (18.3% vs 5.8%), as well as less negative coverage (30.5% vs 60.9%). Significance is not caculated over these differences.</t>
  </si>
  <si>
    <t>"the issues were collapsed into the categories of “feminine” issues (i.e., health care, education, poverty, the environment) and “masculine” issues (i.e., taxes, the budget, crime, defense)".  Female focused coverage of general election is 42.5% about female issues, and 37.2% about 'masculine' issues; the male focused coverage is for 68.4% about 'masculine' issues. It is unclear from the text what percentage of male focused articles is about female issues. In addition, it is unclear whether the higher coverage of 'masculine' issues in male focused coverage compared to female focused coverage is significant, though the difference is large so it likely is.</t>
  </si>
  <si>
    <t>566 (97.9%) general election race articles mentioned female candidates and 441 (76.3%) general election articles mentioned male candidates.</t>
  </si>
  <si>
    <t>Bode and Hennings (2012)</t>
  </si>
  <si>
    <t>Mixed Signals? Gender and the Media's Coverage of the 2008 Vice Presidential Candidates</t>
  </si>
  <si>
    <t>Politics &amp; Policy</t>
  </si>
  <si>
    <r>
      <t xml:space="preserve">Bode, L., &amp; Hennings, V. M. (2012). Mixed signals? Gender and the media's coverage of the 2008 vice presidential candidates. </t>
    </r>
    <r>
      <rPr>
        <i/>
        <sz val="11"/>
        <color indexed="8"/>
        <rFont val="Calibri"/>
        <family val="2"/>
      </rPr>
      <t>Politics &amp; Policy</t>
    </r>
    <r>
      <rPr>
        <sz val="11"/>
        <color theme="1"/>
        <rFont val="Calibri"/>
        <family val="2"/>
      </rPr>
      <t xml:space="preserve">, </t>
    </r>
    <r>
      <rPr>
        <i/>
        <sz val="11"/>
        <color indexed="8"/>
        <rFont val="Calibri"/>
        <family val="2"/>
      </rPr>
      <t>40</t>
    </r>
    <r>
      <rPr>
        <sz val="11"/>
        <color theme="1"/>
        <rFont val="Calibri"/>
        <family val="2"/>
      </rPr>
      <t>(2), 221-257.</t>
    </r>
  </si>
  <si>
    <t>Vice-presidential candidates</t>
  </si>
  <si>
    <t>2. Automated content analysis</t>
  </si>
  <si>
    <t>Newspapers, TV, blogs</t>
  </si>
  <si>
    <t>Three newspapers (NY Times, Washington Post, USA today)</t>
  </si>
  <si>
    <t>Sarah Palin</t>
  </si>
  <si>
    <t>Word counts in articles by candidate (meaning that an article can me coded for multiple candidates).</t>
  </si>
  <si>
    <t>Word counts. "Reported values are risk ratios, or the proportion of words in that category in Palin coverage divided by the proportion of words in that
category in Biden coverage. Ratios &gt; 1, thus, reflect a greater tendency of those words to appear in Palin-only coverage, whereas ratios &lt; 1 reflect
a greater tendency of those words to appear in Biden-only coverage. The further the ratio is from 1, the greater the difference between the two."</t>
  </si>
  <si>
    <t>Amount of coverage. Note: statistical significance is not reported for this, but differences are big and likely significant.</t>
  </si>
  <si>
    <t>Electability, experience, viability.</t>
  </si>
  <si>
    <t>Tone of electability coverage, for formally tested, but inspected informally: "In each article (of any medium) we randomly selected to examine, Biden was never negatively associated with experience, whereas Palin was consistently discussed in terms of a lack of experience."</t>
  </si>
  <si>
    <t xml:space="preserve">Family. "We used terms spanning various familial relations, such as “mom,” “husband,” “parent,” and “wife,” to analyze the content of media coverage in relation to family (see Appendix A for full dictionary of terms)." </t>
  </si>
  <si>
    <t>Physical appearance. "This section of our analysis dictionary included a variety of terms, including different types of clothing, such as “dress,” “shirt,” “shoe,” and “tie” as well as adjectives like “attractive,” “handsome,” and “pretty.” Depictions of outward appearance, which are typically covered disproportionately with female candidates, were covered fairly consistently across the various media sources we examined."</t>
  </si>
  <si>
    <t>NA. Note: it is possible to derive this from the results on 'male' and 'female' issues, by adding these up. That suggest equal amounts of issue coverage for men and women candidates. The average incidence ration of issues in Palin / Biden coverage is 1.016 (1 is equal).</t>
  </si>
  <si>
    <t>“feminine” issues, such as education, health care, and social issues. “masculine” issues, including foreign policy and the
economy. Differences are significant and in line with stereotypes in three out of five issues, i.e. education, foreign policy and social issues.</t>
  </si>
  <si>
    <t>Number of stories per day across all media, and seperately in blogs, newspapers and television.</t>
  </si>
  <si>
    <t>Palin 36 stories a day, Biden 14.9. Separate media: blogs (14.2-3.2 stories per
day), newspapers (15-8.2 stories per day), and television (8.8-4.6 stories per day).</t>
  </si>
  <si>
    <t>2. TV</t>
  </si>
  <si>
    <t>9. Not applicable</t>
  </si>
  <si>
    <t>Word countrs in stories on "LexisNexis transcripts of the three major networks’ evening news broadcasts (NBC Nightly News with Brian Williams, ABC World News with Charles Gibson, and CBS Evening News with Katie Couric), as well as CNN and Fox News equivalents (CNN Situation Room and Fox Special Report with Brit Hume),5 which together encompass the vast majority of national television evening news available to the average media consumer."</t>
  </si>
  <si>
    <t>Electability, experience, viability. The risk ratio is .97 with a confidece interval of .93 to 1.02, where 1 indicates equality in the coverage between the candidates.</t>
  </si>
  <si>
    <t>Physical appearance. "This section of our analysis dictionary included a variety of terms, including different types of clothing, such as “dress,” “shirt,” “shoe,” and “tie” as well as adjectives like “attractive,” “handsome,” and “pretty.” Depictions of outward appearance, which are typically covered disproportionately with female candidates, were covered fairly consistently across the various media sources we examined." Coverage on TV regarding appearance was more or less equal for both candidates. To be exact, the indicence ratio is 0.97, indicating slightly more attention to the appearance of Biden on this medium (but very near 1).</t>
  </si>
  <si>
    <t>NA. Note: it is possible to derive this from the results on 'male' and 'female' issues, by adding these up. That suggest slightly more issue coverage for the man candidate. The average incidence ration of issues in Palin / Biden coverage is 0.942 (1 is equal, below 1 indicates more in Biden coverage).</t>
  </si>
  <si>
    <t>“feminine” issues, such as education, health care, and social issues. “masculine” issues, including foreign policy and the economy. Differences are all significant, but three out of five issues counter to stereotypes. Counter stereotype are the results on "feminine" issues education and mealth care (Biden more coverage) and "masculine" issue foreign policy (Palin more). In line with stereotypes are the results on "feminine" issue social issues (Palin more) and "masculine" issue taxes/economy (Biden more).</t>
  </si>
  <si>
    <t>Robertson, Conley, Szymczynskab and Thompson (2002)</t>
  </si>
  <si>
    <t>Robertson et al. (2002)</t>
  </si>
  <si>
    <t>Gender and the media: An investigation of gender, media, and politics in the 2000 election</t>
  </si>
  <si>
    <t>New Jersey Journal of Communication</t>
  </si>
  <si>
    <t>Robertson, T., Conley, A., Szymczynska, K., &amp; Thompson, A. (2002). Gender and the media: An investigation of gender, media, and politics in the 2000 election. Atlantic Journal of Communication, 10(1), 104-117.</t>
  </si>
  <si>
    <t xml:space="preserve">newspapers (one newspaper per race, largest in circulation). </t>
  </si>
  <si>
    <t>"The newspapers with the largest circulation, as identified by the Audit Bureau of Circulation, from each respective state, were used in the study"</t>
  </si>
  <si>
    <t>Dominant focus of the article (the female candidate, the male candidate, or both)</t>
  </si>
  <si>
    <t>Favorable treatment. "females are treated significantly more favorably in articles than men. Males are mentioned negatively in 105 (18%) articles while being portrayed positively in only 27 (5%) articles, X2 (1, N = 578) = 46.09, p &lt; .01. There are no significant differences in female candidate's portrayal in articles."</t>
  </si>
  <si>
    <t>NA. Note, however, that "the background of the female candidate is mentioned 108 (19%) times in the articles compared to forty nine (8%) for male candidate's, X2 = 8.02, p &lt; .005."</t>
  </si>
  <si>
    <t>Viability, likelihood of winning the election. "No significant differences in candidate viability (indicating one candidate or the other was likely to lose the election) exist between men and women in the 2000 campaign newspaper reporting." However, considered seperately are endorsements: "male candidates are endorsed by political insiders in twenty three articles (4%) compared to female candidates being endorsed by political insiders in nine (2%) of the articles, X2 = 24.47, p &lt; .01."</t>
  </si>
  <si>
    <t>"mentions of candidate marital status, children,
and gender."</t>
  </si>
  <si>
    <t>Image of candidate, with appearance as a part of that. "the candidate's appearance is linked to the female candidate in the articles more often than the male candidate, X2 = 7.32, p &lt; .007."</t>
  </si>
  <si>
    <t xml:space="preserve"> "the background of the female candidate is mentioned 108 (19%) times in the articles compared to forty nine (8%) for male candidate's, X2 = 8.02, p &lt; .005."</t>
  </si>
  <si>
    <t>5. Women more issue coverage, unknown significance</t>
  </si>
  <si>
    <t>The researchers do not explicitly look at the amount of issue coverage, but they coded 22 issues which could be mentioned in the candidates' coverage. On most issues, men and women receive equal amounts of coverage, except four issues with which women are mentioned more frequently than men (health care, senior citizens, international issues and women's issues).</t>
  </si>
  <si>
    <t>The researchers do not explicitly catagorize "masculine" and "feminine" issues, but they compare the coverage on 22 issues. 4 issues ou of the 22 show significant differences, with women being linked to all four issues more. These are: health care, senior citizens, international issues and women's issues. Most research would likely catagorize international issues as a 'masculine' issue (with foreign policy), and the rest as 'feminine'.</t>
  </si>
  <si>
    <t>NA. However, "Female candidates are linked to honesty in thirty four (6%) of the articles compared to fifteen (2%) mentions in articles referring to male candidates, X2 = 4.88, p &lt; .02."</t>
  </si>
  <si>
    <t>NA, but "Female candidates are linked to honesty in thirty four (6%) of the articles compared to fifteen (2%) mentions in articles referring to male candidates, X2 = 4.88, p &lt; .02."</t>
  </si>
  <si>
    <t>NA, but mentions of candidate gender are part considered together with mentions of marital status, children, and family.</t>
  </si>
  <si>
    <t>Attacks: "when males are the dominant focus of the article, they are attacked more often than when female candidates are the dominant focus X2 (2, N = 578) = 40.13, p &lt; .01."  Use of I: "Male candidates however, use "I" (or a personal tone) in 49 articles (8%) while females use "I" in 33 articles (5%), X2 = 7.52 , p &lt; .01." Endorsments: "male candidates are endorsed by political insiders in twenty three articles (4%) compared to female candidates being endorsed by political insiders in nine (2%) of the articles, X2 = 24.47, p &lt; .01."</t>
  </si>
  <si>
    <t>Dominant focus of article (f, m or mixed). Percentage of articles with dominant focus on the woman candidate versus percentage with dominant focus on man candidate.</t>
  </si>
  <si>
    <t>247/578 (43%) dominent focus on female, 79/578 (14%) dominent focus on male candidate, 250/578 (43%) focus even.</t>
  </si>
  <si>
    <t>Result not taken into account here because already reported in Banwart, Bystrom and Robertson (2003).</t>
  </si>
  <si>
    <t>Norris (1997)</t>
  </si>
  <si>
    <t>Women Leaders Worldwide: A Splash of Color in the Photo Op</t>
  </si>
  <si>
    <t xml:space="preserve">Chapter in book Women, Media, and Politics </t>
  </si>
  <si>
    <t>4. Book chapter</t>
  </si>
  <si>
    <t>Norris, P. (1997). ‘Women leaders worldwide: A splash of color in the photo op’, in: Norris, P. (eds.) Women, media, and politics. Oxford: Oxford University Press, 149-165.</t>
  </si>
  <si>
    <t>Worldwide</t>
  </si>
  <si>
    <t>4. Rest</t>
  </si>
  <si>
    <t>Heads of government</t>
  </si>
  <si>
    <t>3. Both primary and general election</t>
  </si>
  <si>
    <t>Differs per country studied</t>
  </si>
  <si>
    <t>4. Other</t>
  </si>
  <si>
    <t>1966-1995</t>
  </si>
  <si>
    <t>English language newspapers,  news wires and news magazines. 8 sources in total.</t>
  </si>
  <si>
    <t>"Eight sources were selected from the Lexis/Nexis data base to include English-language media with extensive coverage of international news, and with data for the whole period of the analysis. This included three newspapers, the New York Times, the Washington Post, and the Financial Times. The two largest wire services are included, namely, Associated Press and Reuters. The Economist and Newsweek were selected as representing leading weekly news magazines. Lastly, given its unique breadth of international reporting, the BBC World Service was included. Over 100,000 stories from these sources were counted in this comparison."</t>
  </si>
  <si>
    <t>Stories (which are articles for newspapers)</t>
  </si>
  <si>
    <t>Paired politicians (10 pairs)</t>
  </si>
  <si>
    <t>Visibility. Differences are reported in the text as statistiscally significant, but we were unable to reconstruct the results from the data presented in the table. A paired sample t-test on the data presented in Table 8.2 yielded a t-value of -0.1831 and p-value of 0.4294 (N=10), suggesting no significant difference.</t>
  </si>
  <si>
    <t>NA. In qualitative analysis of women coverage (without comparison of male coverage): "If one looked very hard, one can very occasionally come across clear examples of gratuitous remarks about personal appearance or simple sexism. [..] these sorts of remarks are highly exeptional and do not reflect the vast bulk of the coverage."</t>
  </si>
  <si>
    <t>NA. In qualitative analysis of women coverage (without comparison of male coverage): "none of these women was seen to campagn for the leadership on traditional 'compassion' issue, nor was seen as their area of greatest strength and competency."</t>
  </si>
  <si>
    <t>NA. In qualitative analysis of women coverage (without comparison of male coverage): "few references to the traditional stereotypes seeing women leaders as conciliatory, compassionate, and sensitive, while men are regarded as strong, ambitious, and tough."</t>
  </si>
  <si>
    <t>Qualitative, interpretative analysis of stereotypes and frames in first week coverage of women leaders. For this the coverage of the first week after the appointment of women leaders is considered. It seems that coverage of men is not taken into account, so there is no real comparison. Results in short: Three frames are frequently linked to women leaders: breakthroughs, outsiders and agents of change. Sex stereotyping in personal appearance occured, but was rare overall. References to traits of female leaders did not conform to gender stereotypes. Also the issue coverage did not follow the gendered issue stereotypes: "none of these women was seen to campaign for the leadership on traditional 'compassion' issue, nor was seen as their area of greatest strength and competency." No formal content analysis, but a qualitative, interpretative analysis of the coverage during the first week in office. Three gendered frames are observed in this analysis: women leadership breakthroughs, women leaders as outsiders and women leaders as agents of change.</t>
  </si>
  <si>
    <t>Number of stories (newspaper articles) per day in office</t>
  </si>
  <si>
    <r>
      <t xml:space="preserve">Women: 5.35, 4.40, 6.42, 0.30, 0.36, 0.78, 8.65, 0.36, 2.07, 12.12. Men: 2.62, 6.03, 6.14, 0.00, 2.91, 0.21, 2.54, 5.72, 3.82, 12.50. Mean women: </t>
    </r>
    <r>
      <rPr>
        <b/>
        <sz val="11"/>
        <color indexed="8"/>
        <rFont val="Calibri"/>
        <family val="2"/>
      </rPr>
      <t>4.08;</t>
    </r>
    <r>
      <rPr>
        <sz val="11"/>
        <color theme="1"/>
        <rFont val="Calibri"/>
        <family val="2"/>
      </rPr>
      <t xml:space="preserve"> mean men : </t>
    </r>
    <r>
      <rPr>
        <b/>
        <sz val="11"/>
        <color indexed="8"/>
        <rFont val="Calibri"/>
        <family val="2"/>
      </rPr>
      <t>4.25</t>
    </r>
    <r>
      <rPr>
        <sz val="11"/>
        <color theme="1"/>
        <rFont val="Calibri"/>
        <family val="2"/>
      </rPr>
      <t xml:space="preserve">. Mean women in book: 3.81; mean men in book: 4.43. We emailed with the author, but were unable to reconstruct the means reported in the book, so we use the recalculated means here. </t>
    </r>
  </si>
  <si>
    <t>Emailed the author, as reported significance test is apparently incorrect, original data no longer available</t>
  </si>
  <si>
    <t>Carroll and Schreiber (1997)</t>
  </si>
  <si>
    <t>Media Coverage of Women in the 103rd Congress</t>
  </si>
  <si>
    <t>Carroll, S. J., &amp; Schreiber, R. (1997). Media coverage of women in the 103rd Congress. Women, media, and politics, 131-148.</t>
  </si>
  <si>
    <t>1993, 1994</t>
  </si>
  <si>
    <t>2. Routine</t>
  </si>
  <si>
    <t>27 US newspapers, 'major papers' section in LexisNexis</t>
  </si>
  <si>
    <t>Twenty-seven major newspapers throughout the United States in the months between January 1993 and October 1994. Two sets for analysis are constructued: one by searching for 'congresswomen' etc (N articles=291); and another one by searching the names of the 24 new female house members and the names of 51 male house members from the same states as the women (N articles unclear). The second set is the basis for comparisons, so this one is described here.</t>
  </si>
  <si>
    <t>No controls. Note: more visible period for women, because 1992 'Year of the Woman'</t>
  </si>
  <si>
    <t xml:space="preserve">Articles, or mentions of names (which can occur multiple times in one article. </t>
  </si>
  <si>
    <t>Name mentions per person per year.</t>
  </si>
  <si>
    <t>Amount of coverage. Average number of mentions of the names of new members of the U.S. House of Representative in major paper are reported for 1993, 1994 and 1993-1994. Significance is not tested.</t>
  </si>
  <si>
    <t>NA. Without a comparison to coverage of men members of congress, the authors do look at the proportion of articles on congresswomen in the style section of the paper, and the share is considerable (14%). In this set of articles (only on women members of congress), references to appearance and attire were relatively rare (p. 139) according to the authors.</t>
  </si>
  <si>
    <t>NA. In analysis of women coverage (without comparison of male coverage), the authors find that 41 percent of all articles had a significant focus on women's health, abortion, or both.</t>
  </si>
  <si>
    <t>The article inspects a number of aspects, but only in the coverage of congreswomen, with no comparison to coverage of congressmen. In an analysis of the coverage of women in Congress (without comparison to men) the authors find that the 'agents of change' theme.</t>
  </si>
  <si>
    <t>Average number of mentions of the names of new members of the House of representatives in a year in all 27 newspapers.</t>
  </si>
  <si>
    <t>Women: 1993 127, 1994 112, total 239. Men: 1993 82, 1994 106, total 188.</t>
  </si>
  <si>
    <t>Dunaway et al. (2013)</t>
  </si>
  <si>
    <t>Traits versus Issues: How Female Candidates Shape Coverage of Senate and Gubernatorial Races</t>
  </si>
  <si>
    <t>Dunaway, J., Lawrence, R. G., Rose, M., &amp; Weber, C. R. (2013). Traits versus issues: How female candidates shape coverage of senate and gubernatorial races. Political Research Quarterly, 66(3), 715-726.</t>
  </si>
  <si>
    <t>2006, 2008</t>
  </si>
  <si>
    <t>Local newspapers, multiple per state. "We use an electronic searchable newspaper archive called America’s Newspapers, provided by Newsbank, Inc., which contains an extensive archive of more than 400 local newspapers across the United States, including nearly every newspaper identified by the Editor and Publisher International Yearbook."</t>
  </si>
  <si>
    <t>280 different local newspapers</t>
  </si>
  <si>
    <t>Type of office (Senator/governor), competitiveness, open seat, incumbency years, days till election, midterm, ownership newspaper, circulation newspaper.</t>
  </si>
  <si>
    <t>Content analyzed newspaper articles</t>
  </si>
  <si>
    <t>Articles within race (accounting for the clustering). Level of comparison is the race, not the candidate, comparing races with at least one women (2 female-female and 8 female-male races) with only men (21 male-male races). 21 MM races, 8 FM races, 2 FF races.</t>
  </si>
  <si>
    <t xml:space="preserve">Horse-race coverage compared to candidate trait coverage, cofficient for women candidate in the race is not significant. </t>
  </si>
  <si>
    <t>1. Women more trait coverage, significant</t>
  </si>
  <si>
    <t>The amount of trait coverage is inspected. "races with female candidates are more likely to feature trait stories than male versus male races, χ2(4) = 69.73, p &lt; .01." The larger amount of trait coverage for female candidates (relative to issue coverage) significant and stronger for gubernatorial candidates, for senate races the effect is not significant.</t>
  </si>
  <si>
    <t>Issue coverage relative to trait coverage (multinomial logistic). Women races receive less issue coverage or more trait coverage. When intecten with the type of race (senate or gubernatorial), it holds for gubernatorial races, and not for senate races.</t>
  </si>
  <si>
    <t>NA. However, the overall amount of trait coverage is considered. Races with women receive more trait coverage. The larger amount of trait coverage for female candidates (relative to issue coverage) significant and stronger for gubernatorial candidates, for senate races the effect is not significant.</t>
  </si>
  <si>
    <t>The authors also inspect differences in trait/horse-race/issue coverage between senate and gubernatorial races. The larger amount of trait coverage for female candidates (relative to issue coverage) significant and stronger for gubernatorial candidates, for senate races the effect is not significant.</t>
  </si>
  <si>
    <t>Semetko and Boomgaarden (2007)</t>
  </si>
  <si>
    <t>Reporting Germany's 2005 Bundestag election campaign: Was gender an issue?</t>
  </si>
  <si>
    <t>Semetko, H. A., &amp; Boomgaarden, H. G. (2007). Reporting Germany's 2005 Bundestag election campaign: Was gender an issue?. Harvard International Journal of Press/Politics, 12(4), 154-171.</t>
  </si>
  <si>
    <t>Germany</t>
  </si>
  <si>
    <t>Party leaders</t>
  </si>
  <si>
    <t>Mixed  MMP(FPTP and List PR)  2  614  614  Not applicable (Electoral System Family  | Electoral System for National Legislature | Number of tiers | Legislative size (directly elected) | Legislative size (Voting members) | Electoral system for the president | Source: www.idea.int )</t>
  </si>
  <si>
    <t>2. Mixed Member Proportional</t>
  </si>
  <si>
    <t>In study both TV and newspaper, but results presented seperately, so we coded them seperately as well. TV (4 main evening newscasts) and one tabloid (Bild, first two pages) in six weeks leading to the election. "the four most-highly rated German public and commercial television main evening newscasts on networks ARD (tagesschau, 8:15 P.M.), ZDF (heute, 7 P.M.), Sat.1 (news, 6:30 P.M.), and RTL (aktuell, 6:45 P.M.) and in Bild, Germany’s biggest tabloid newspaper, which sells approximately 4.5 million copies daily and reaches about one-quarter of the population on an average day. All television news items, excluding the weather forecast, and all items on the first two pages of Bild were coded."</t>
  </si>
  <si>
    <t>Angela Merkel</t>
  </si>
  <si>
    <t>Television news items</t>
  </si>
  <si>
    <t>Averages and means over television news items are presented</t>
  </si>
  <si>
    <t>Presense/visibility. About equal for Merkel and Schröder.</t>
  </si>
  <si>
    <t>3. Men more positive, unknown significance</t>
  </si>
  <si>
    <t>Evaluations, tone, negative, tone of visuals. "In television news, both public and commercial, Schröder is more positively evaluated than Merkel. In public newscasts, Schröder is evaluated rather neutrally on average, and Merkel receives negative evaluations on average, whereas in commercial news, evaluations of Schröder are on average positive and Merkel is evaluated overall neutrally. [...] In
commercial news, Schröder is shown more positively than Merkel". Significance is not reported (standard deviations are reported in the table, so it is possible to reconstruct p-values).</t>
  </si>
  <si>
    <t>Horse-race–framed news. Two sort of horse-race framing: strongly and weakly. Schröder tended to receive more coverage with horse-race framing weakly present, Merkel more with horse-race framing strongly present.  "From this, one cannot conclude that in Germany’s 2005 Bundestag election the female challenger was covered substantially more often in relation to horse-race news than her male counterpart."</t>
  </si>
  <si>
    <t>"According to the literature (e.g., Kahn 1994), economic and finance issues are male domains.We find that while Schröder appears more frequently than Merkel in relation to these issues in television news, the difference is insignificant (8 percent vs. 7 percent).[..] In relation to social and education policy—considered “female issues”—Merkel is featured slightly more often in Bild and television news (1 to 2 percentage-point difference for both issues)." Significance not tested.</t>
  </si>
  <si>
    <t>3. Men more leadership coverage, unknown significance</t>
  </si>
  <si>
    <t>Favorable traits. Note: TV and newspaper are taken together. "We used a preexisting list of favorable traits that have been used in content analyses at election time in Germany to evaluate the so-called chancellor candidates" The traits are: enigmatic, likeable, winning type, problem solving competency, leadership strength, and media competency. Three characterizations in visuals are coded: winner, empathetic, and "just one of us folks". Schröder scores higher on all traits, except problem solving competency. Significance not tested.</t>
  </si>
  <si>
    <t>3. Women more mention of their gender, unknown significance</t>
  </si>
  <si>
    <t>Gender frame: "emphasizes the role of the candidates’ gender and relates gender differences to candidates’ abilities and election outcomes.The frame shows that gender was explicitly emphasized
in a news story. This was never the case when only Schröder was mentioned in a news story. As shown in Figure 5, the gender frame was applied in stories featuring Merkel exclusively or in stories featuring Merkel and Schröder." Significance not tested</t>
  </si>
  <si>
    <t>The auther also consider the amount and length of sound bites and visualization.</t>
  </si>
  <si>
    <t>Total story length / size (in sec/cm2), in public tv news, in commercial TV news, in Bild newspaper. Reported here: TV.</t>
  </si>
  <si>
    <t>Schröder (m): public news 8411, commercial news 10067. Merkel (f): public news 8971, commercial news 9663.</t>
  </si>
  <si>
    <t>Bild, Germany’s biggest tabloid newspaper, which sells approximately 4.5 million copies daily and reaches about one-quarter of the population on an average day. All items on the first two pages of Bild were coded.</t>
  </si>
  <si>
    <t>2. Tabloid</t>
  </si>
  <si>
    <t>Averages and means over articles are presented</t>
  </si>
  <si>
    <t>Evaluations, tone, negative, tone of visuals. " In Bild, Schröder receives overall negative evaluations, and Merkel is evaluated more favorably.[..] in Bild, Merkel is more favorably depicted in visuals than Schröder." Significance is not reported (standard deviations are reported in the table, so it is possible to reconstruct p-values).</t>
  </si>
  <si>
    <t>11. Women more on male issues, women more on female issues, unknown significance</t>
  </si>
  <si>
    <t>"According to the literature (e.g., Kahn 1994), economic and finance issues are male domains. [..] In Bild, Merkel is more often covered in relation to economics and finance than Schröder (8 and 6 percent, respectively). In relation to social and education policy—
considered “female issues”—Merkel is featured slightly more often in Bild and television news (1 to 2 percentage-point difference for both issues)." Significance not tested.</t>
  </si>
  <si>
    <t>Favorable traits. Note: TV and newspaper are taken together. "We used a preexisting list of favorable traits that have been used in content analyses at election time in Germany to evaluate the so-called chancellor candidates" The traits are: enigmatic, likeable, winning type, problem solving competency, leadership strength, and media competency. Three characterizations in visuals are coded: winner, empathetic, and "just one of us folks". Schröder scores higher on all traits, except problem solving competency.</t>
  </si>
  <si>
    <t>Gender frame: "emphasizes the role of the candidates’ gender and relates gender differences to candidates’ abilities and election outcomes.The frame shows that gender was explicitly emphasized
in a news story. This was never the case when only Schröder was mentioned in a news story. As shown in Figure 5, the gender frame was applied in stories featuring Merkel exclusively or in stories featuring Merkel and Schröder."</t>
  </si>
  <si>
    <t>Total story length / size (in sec/cm2), in public tv news, in commercial TV news, in Bild newspaper. Reported here: Newspaper.</t>
  </si>
  <si>
    <t>Schröder (m): Bild 35,053. Merkel (f): Bild 35,902.</t>
  </si>
  <si>
    <t>MPs</t>
  </si>
  <si>
    <t>Presense/visibility. About equal for Merkel and Schröder. The political actors in political news stories are about 80% male. Note: It is unclear, however, what percentage of candidates was male, so whether this is an overrepresentation of men.</t>
  </si>
  <si>
    <t>Evaluations, tone, negative. Evaluations of stories are equal, except for the visuals "Overall, female politicians are depicted more positively than their male colleagues."</t>
  </si>
  <si>
    <t>Mean story length/size (in sec/cm2). Also reported in the article: The total length / size (in sec/cm2) of all stories per sex in public tv news, in commercial TV news, in Bild newspaper is reported, but it is not possible to turn this into a per person visibility score, as the total number of men an women politicians is unknown.</t>
  </si>
  <si>
    <t xml:space="preserve">Public news, male: 136.33. Public news, female: 129.1. Commercial news, male: 136.61. Commercial news, female: 128.09. </t>
  </si>
  <si>
    <t>Bild, male: 311.99. Bild, female 331.78.</t>
  </si>
  <si>
    <t>Hooghe, Jacobs and Claes (2015)</t>
  </si>
  <si>
    <t>Hooghe et al. (2015)</t>
  </si>
  <si>
    <t>Enduring Gender Bias in Reporting on Political Elite Positions: Media Coverage of Female MPs in Belgian News Broadcasts (2003-2011)</t>
  </si>
  <si>
    <t>Hooghe, M., Jacobs, L., &amp; Claes, E. (2015). Enduring Gender Bias in Reporting on Political Elite Positions: Media Coverage of Female MPs in Belgian News Broadcasts (2003–2011). The International Journal of Press/Politics, 20(4), 395-414.</t>
  </si>
  <si>
    <t>Belgium (Flanders)</t>
  </si>
  <si>
    <t>PR  List PR  1  150  150  Not applicable (Electoral System Family  | Electoral System for National Legislature | Number of tiers | Legislative size (directly elected) | Legislative size (Voting members) | Electoral system for the president | Source: www.idea.int )</t>
  </si>
  <si>
    <t>2003, 2004, 2005, 2006, 2007, 2008, 2009, 2010, 2011</t>
  </si>
  <si>
    <t>TV news on main public broadcaster and main commercial broadcaster. The authors "rely on data collected by the Electronic News Archive (ENA) (www.nieuwsarchief.
be)." which contains "information on name, language, function, sex, and speaking time of the depicted actor"</t>
  </si>
  <si>
    <t>Age, position, experience, opposition, term. Note: not controlled for length of tenure of the MP, while two legislative periods of unequal length and with unequal share of female politicians is taken into account. One of the authors said in personal communication with DvdP that a robustnesstest was performed to see whether this drove the results, and that it did not.</t>
  </si>
  <si>
    <t>about 150-170</t>
  </si>
  <si>
    <t>Television items</t>
  </si>
  <si>
    <t>493 individual MPs with separate observations for every function they perform, unit of observation is MP-function (N=1,011). Functions may be "Ordinary MP", "party president, "Speaker", etc. "We opted to include political position, parliamentary term, and membership of a majority or opposition party in our definition of a “distinct observation.”"</t>
  </si>
  <si>
    <t>Speaking time in TV news items during entire research period. Both being allotted speaking time at all and the amount of speaking time, depend on the sex of the MP, controlling for other factors. The effect is more pronounced for politicians with elite positions (party top, etc).</t>
  </si>
  <si>
    <t>The researchers also consider the moderating effect of elite position. The negative effect of female gender is stronger at higher positions.</t>
  </si>
  <si>
    <t>1: Dummy whether MP has been on TV or not. Predicted from the model is the percentage of MPs that received any media coverage. Here the results without models are used, i.e., the percentage of women receiving speaking time on TV compared to the percentage of women in the legislature. 2: For MPs that have been on TV: number of seconds. This second measure is not used here, though results concur.</t>
  </si>
  <si>
    <t>female MPs received a total of 19,356 seconds (5.4 hours) of speaking
time, while male MPs accumulated almost five time as much speaking time, that
is, 124,048 seconds (34.6 hours). ' (p405). Men make up 68% of (speaking or non-speaking) observations, and women 32%. Men thus receive 0.5088 hour per percent, and women 0.16875 per percent.</t>
  </si>
  <si>
    <t>Based on raw averages, without the controls</t>
  </si>
  <si>
    <t>1: Dummy whether MP has been on TV or not. Predicted from the model is the percentage of MPs that received any media coverage. 2: For MPs that have been on TV: number of seconds.</t>
  </si>
  <si>
    <t>Equation is 3.776-0.004*age+1.282*elite-.007*experience-.159majority+0.562*term2+0.140*term3+0.129*term4+0.465*parliament-0.426*woman. Fill in with means from appendix B: 3.776-0.004*47.43+1.282*.36-.007*4.47-.159*.57+0.562*0.37+0.140*0.33+0.129*0.12+0.465*0.53-0.426*woman. So for men: 4.44195; for women : 4.01595. Reversing the logaritm gives (e^4.44=) 84.94 second per speaking man and (e^4.02=) 55.48 second per speaking woman. Based on Model 1, ceteris paribus 51.9% of women are predicted to have speaking time, and 61.4 of men. So the predicted (based on both models) speaking time for male MPs ceteric paribus is 52.32 (84.94*61.6/100) and for women 28.79 (55.48*51.9/100).</t>
  </si>
  <si>
    <t>Based on probabilities for speaking time described in the text (based on Model 1 p405, p 404 text)</t>
  </si>
  <si>
    <t>Vos (2013)</t>
  </si>
  <si>
    <t>The vertigal glass ceiling: Explaining female politicians' underrepresentation in television news</t>
  </si>
  <si>
    <t>The European Journal of Communication Research</t>
  </si>
  <si>
    <t>Vos, Debby. (2013). ‘The vertical glass ceiling: Explaining female politicians' underrepresentation in television news’, Communications (38) 389-410.</t>
  </si>
  <si>
    <t>MPs, ministers, party leaders</t>
  </si>
  <si>
    <t>2003, 2004, 2005, 2006, 2007, 2008, 2009, 2010</t>
  </si>
  <si>
    <t>TV news on main public broadcaster and main commercial broadcaster. The author uses the coding by the "Electronic News Archive (ENA), an extensive and complete
dataset of Flemish television news that codes all 7pm-news broadcasts from VTM (commercial broadcaster) and VRT (public broadcaster) from 2003
onwards."</t>
  </si>
  <si>
    <t>Age, incumbency, position, experience, position on electoral list, senate candidate.</t>
  </si>
  <si>
    <t>Politicians</t>
  </si>
  <si>
    <t>Speaking time (amount) in TV news items during entire research period.</t>
  </si>
  <si>
    <t>Total speaking time (in minutes) during two electoral terms</t>
  </si>
  <si>
    <t>Female politicians speak on average five minutes during their mandate whereas
 male politicians receive on average 17 minutes of speaking time.' OLS regression predicting speaking time of politicians, coefficient for gender is -0.10. Predicted value for men not available, constant is 0.71 (page 398, Table 1, Model 3)</t>
  </si>
  <si>
    <t>Regression results not used, only raw scores men and women</t>
  </si>
  <si>
    <t>Total speaking time (in minutes) during two electoral terms controlling or age, incumbency, position, experience, position on the electoral list, and candidacy for the Senate</t>
  </si>
  <si>
    <t>On average, politicians are 12.7667 minutes in the media (as 127 women are on air average 5 minutes and 233 men on average 17 minutes). The difference between men in women deriving from the controlled model (Table 1 Model 3) is 8 minutes (see text below table). This mean that women, ceteris baribus, are on for 7.59 minutes and men for 15.59 minutes.</t>
  </si>
  <si>
    <t>Derived from controlled model, and reconstructed using mean values reported in text</t>
  </si>
  <si>
    <t>3. Statistical control minimal (categorical)</t>
  </si>
  <si>
    <t>Ross and Comrie (2012)</t>
  </si>
  <si>
    <t>The rules of the (leadership) game: Gender, politics and news</t>
  </si>
  <si>
    <t>Journalism</t>
  </si>
  <si>
    <r>
      <t xml:space="preserve">Ross, K., &amp; Comrie, M. (2012). The rules of the (leadership) game: Gender, politics and news. </t>
    </r>
    <r>
      <rPr>
        <i/>
        <sz val="11"/>
        <color indexed="8"/>
        <rFont val="Calibri"/>
        <family val="2"/>
      </rPr>
      <t>Journalism</t>
    </r>
    <r>
      <rPr>
        <sz val="11"/>
        <color theme="1"/>
        <rFont val="Calibri"/>
        <family val="2"/>
      </rPr>
      <t xml:space="preserve">, </t>
    </r>
    <r>
      <rPr>
        <i/>
        <sz val="11"/>
        <color indexed="8"/>
        <rFont val="Calibri"/>
        <family val="2"/>
      </rPr>
      <t>13</t>
    </r>
    <r>
      <rPr>
        <sz val="11"/>
        <color theme="1"/>
        <rFont val="Calibri"/>
        <family val="2"/>
      </rPr>
      <t>(8), 969-984.</t>
    </r>
  </si>
  <si>
    <t>New Zealand</t>
  </si>
  <si>
    <t>Mixed  MMP(FPTP and Party Lists)  3  122  122  Not applicable (Electoral System Family  | Electoral System for National Legislature | Number of tiers | Legislative size (directly elected) | Legislative size (Voting members) | Electoral system for the president | Source: www.idea.int)</t>
  </si>
  <si>
    <t>In study both TV and newspaper, but results presented seperately, so we coded them seperately as well. "The TV sample comprised the two early evening news programmes broadcast on publicly owned TVNZ (One News) and privately owned TV3 (3 News)."</t>
  </si>
  <si>
    <t>Helen Clark</t>
  </si>
  <si>
    <t>Airtime in terms of number of stories and total second. The male candidate (Key) received a larger total seconds of airtime on both TV stations, and a larger number of stories on one station (TVNZ), while the female candidate (Clark) received a larger number of stories on the other station (TV3).</t>
  </si>
  <si>
    <t>Total seconds of airtime (also number of stories and average time per story)</t>
  </si>
  <si>
    <t>TVNZ (One News): m 670, f 520. TV3 (3News): m 648, f 510.</t>
  </si>
  <si>
    <t>Based on tv only</t>
  </si>
  <si>
    <t>In study both TV and newspaper, but results presented seperately, so we coded them seperately as well.</t>
  </si>
  <si>
    <t>"We monitored the two most widely distributed and largest circulation newspapers, the New Zealand Herald and the Dominion Post" "151 articles were selected for analysis, 93 from the New Zealand Herald (62%) and 58 from the Dominion Post (38%)."</t>
  </si>
  <si>
    <t>NA. The number of articles per politician can be derived from Table 2, and it is 130 (106+18+6) for the female candidate and 106 (101+1+4) for the male candidate. The number of times the politicians are quoted is also considered.</t>
  </si>
  <si>
    <t>Tonal catagories of 'supportive'and 'hostile'. The female candidates is discussed in 13% of articles in a hostile tone, and in 4% in a supportive tone. The male candidate is discussed in a hostile tone in 1% of articles, and in a supportive tone in 11%. Significance not reported (it would be possible to reconstruct the p-values).</t>
  </si>
  <si>
    <t>3. Women quoted less often, unknown significance</t>
  </si>
  <si>
    <t>The researchers also inspect the % of articles in which the politician is quoted. This is higher for the female candidate than for the male candidate (29 vs 23 percent). On the other hand, the male candidate is quoted more often in the first paragraph of newspaper articles</t>
  </si>
  <si>
    <t>Midtbø (2011)</t>
  </si>
  <si>
    <t>Explaining Media Attention for Norwegian MPs: A New Modelling Approach</t>
  </si>
  <si>
    <t>Scandinavian Political Studies</t>
  </si>
  <si>
    <t>Midtbø, T. (2011). Explaining media attention for Norwegian MPs: A new modelling approach. Scandinavian Political Studies, 34(3), 226-249.</t>
  </si>
  <si>
    <t>Norway</t>
  </si>
  <si>
    <t>4. Not applicable, routine times</t>
  </si>
  <si>
    <t>PR  List PR  2  169  169  Not applicable (Electoral System Family  | Electoral System for National Legislature | Number of tiers | Legislative size (directly elected) | Legislative size (Voting members) | Electoral system for the president | Source: www.idea.int)</t>
  </si>
  <si>
    <t>2001, 2002, 2003, 2004, 2005</t>
  </si>
  <si>
    <t>3. Combination of manual and automatic content analysis</t>
  </si>
  <si>
    <t>14 newspapers</t>
  </si>
  <si>
    <t>"An electronic media archive, A-tekst, was used to identify and retrieve the newspaper articles (http://www.retriever-info.com/ no, accessed April 2009). Searching for the names of the parliamentarians was limited to headlines and abstracts, but articles were examined in their entirety in order to categorise the content"</t>
  </si>
  <si>
    <t>party leader, socialist, opposition, age, experience, legislative activity, worked as journalist, tabloid paper, etc.</t>
  </si>
  <si>
    <t>153; 18144</t>
  </si>
  <si>
    <t>Newspaper articles</t>
  </si>
  <si>
    <t>Articles by politician in multilevel analysis</t>
  </si>
  <si>
    <t>Attention, amount of coverage.</t>
  </si>
  <si>
    <t>Relative coverage, negative coverage vs neutral coverage and positive coverage. Women receive more positive coverage relative to negative coverage than men, and also more neutral coverage relative to negative coverage than men.</t>
  </si>
  <si>
    <t>Negative binomial regression, dependent variable is number of article MP is mentioned.</t>
  </si>
  <si>
    <t>Percentage change in expected count for a unit increase in X holding the other variables constant: -30.8</t>
  </si>
  <si>
    <t>Ross, Evans, Harrison, Shears and Wadia (2013)</t>
  </si>
  <si>
    <t>Ross et al. (2013)</t>
  </si>
  <si>
    <t>The Gender of News and the News of Gender: A Study of Sex, Politics, and Press Coverage of the 2010 British General Election</t>
  </si>
  <si>
    <r>
      <t xml:space="preserve">Ross, K., Evans, E., Harrison, L., Shears, M., &amp; Wadia, K. (2013). The gender of news and news of gender: a study of sex, politics, and press coverage of the 2010 British General Election. </t>
    </r>
    <r>
      <rPr>
        <i/>
        <sz val="11"/>
        <color indexed="8"/>
        <rFont val="Calibri"/>
        <family val="2"/>
      </rPr>
      <t>The International Journal of Press/Politics</t>
    </r>
    <r>
      <rPr>
        <sz val="11"/>
        <color theme="1"/>
        <rFont val="Calibri"/>
        <family val="2"/>
      </rPr>
      <t xml:space="preserve">, </t>
    </r>
    <r>
      <rPr>
        <i/>
        <sz val="11"/>
        <color indexed="8"/>
        <rFont val="Calibri"/>
        <family val="2"/>
      </rPr>
      <t>18</t>
    </r>
    <r>
      <rPr>
        <sz val="11"/>
        <color theme="1"/>
        <rFont val="Calibri"/>
        <family val="2"/>
      </rPr>
      <t>(1), 3-20.</t>
    </r>
  </si>
  <si>
    <t>United Kingdom</t>
  </si>
  <si>
    <t>Plurality/Majority  FPTP  1  650  650  Not applicable (Electoral System Family  | Electoral System for National Legislature | Number of tiers | Legislative size (directly elected) | Legislative size (Voting members) | Electoral system for the president | Source: www.idea.int)</t>
  </si>
  <si>
    <r>
      <t xml:space="preserve">Newspapers: six national dailies, and five Sunday titles. Only articles that focus on candidate </t>
    </r>
    <r>
      <rPr>
        <i/>
        <sz val="11"/>
        <color indexed="8"/>
        <rFont val="Calibri"/>
        <family val="2"/>
      </rPr>
      <t>as</t>
    </r>
    <r>
      <rPr>
        <sz val="11"/>
        <color theme="1"/>
        <rFont val="Calibri"/>
        <family val="2"/>
      </rPr>
      <t xml:space="preserve"> candidate.</t>
    </r>
  </si>
  <si>
    <t>"Our sample comprised six national dailies, selected on the basis of circulation and broad political orientation: Independent, Guardian, and Times for the broadsheet (quality) press and the Daily Express, Sun, and Mirror representing the midmarket and tabloid (popular) press. In addition, five Sunday titles were also monitored: Observer, Independent on Sunday, Sunday Times, Sunday Express, and Sunday Mirror."</t>
  </si>
  <si>
    <t>For some measure separate analyses for the leaders, government etc. Analyses not per candidate.</t>
  </si>
  <si>
    <t>Mentions and articles.</t>
  </si>
  <si>
    <t>Underrepresentation in news discourse, mentions of candidates, under-reported. "they were still under-reported in relation to their number" Significance unclear</t>
  </si>
  <si>
    <t xml:space="preserve">Horse-race. Of articles mentioning women only, 37% (10/27) was catagorized as horse-race; of articles mentioning men only it was 36% (91/255), of articles mentioning both men and women it was 49% (38/77). </t>
  </si>
  <si>
    <t>3. Women more background coverage, unknown significance</t>
  </si>
  <si>
    <t>Personal profile (it remains unclear what the personal profile entails). 41% (11/27) of the women-only articles were personal profiles, compared to 35% (89/255) of the men-only articles, and 29% (22/77) of the women-and-men articles.</t>
  </si>
  <si>
    <t>Topic: women/equality. "We also coded a topic as “gender and/or equality” for any article that was specifically about women candidates"</t>
  </si>
  <si>
    <t>71% (=271) of articles only mention men candidates, 8% (=30) only mention women candidates, and 21% (=81) mention both. Thus (271+81)/(4134-877)=0.10807 articles per male candidate; (30+81)/877=0.12657 articles per female candidate. Note that the calculation would be different if the articles containing references to both men and women candidates are not taken into account: (271)/(4134-877)=0.0832 articles per male candidate; (30)/877=0.0342 articles per female candidate. As no argument is made in the text for disregarding these articles, we did include them.</t>
  </si>
  <si>
    <t>The number of candidates is not mentioned in the text. A reference is made to the CFWD (2010) report, according to which the number of candidates was 4,134, 877 of which were female (21%). Note that the authors state, contrary to our calculation here, that women candidates 'were under-reported in relation to their number' (page 9). It is unclear what caculation is used for this, but perhaps the articles mentioning both men and women candidates are disregarded in the calculation. There is no argument made, however, for disregarding these articles.</t>
  </si>
  <si>
    <t>Van Aelst, Maddens, Noppe and Fiers (2008)</t>
  </si>
  <si>
    <t>Van Aelst et al. (2008)</t>
  </si>
  <si>
    <t>Politicians in the News: Media or Party Logic? Media Attention and Electoral Success in the Belgian Election Campaign of 2003</t>
  </si>
  <si>
    <t>European Journal of Communication</t>
  </si>
  <si>
    <t>Van Aelst , P., Maddens, B., Noppe, J., &amp; Fiers, S. (2008). Politicians in the news: Media or party logic? Media attention and electoral success in the Belgian election campaign of 2003. European Journal of Communication, 23(2), 193-210.</t>
  </si>
  <si>
    <t>Belgium</t>
  </si>
  <si>
    <t>Party leaders, MPs</t>
  </si>
  <si>
    <t>TV and Newspapers, here the results on TV are discussed. "The television coverage is measured by counting
the appearances of a candidate in the evening news broadcasts of both the public and the commercial channels." "The data were gathered by the Electronic News Archive (ENA), a cooperation of the Universities of Antwerp and Leuven."</t>
  </si>
  <si>
    <t>Party, senate candidate, minister function, local mandate, position on list, campaignspending</t>
  </si>
  <si>
    <t>min 877</t>
  </si>
  <si>
    <t>TV stories</t>
  </si>
  <si>
    <t>Candidates</t>
  </si>
  <si>
    <t>Visibility. Dummy for 'male' has a positive effect, but not significant. "[o]nly two women were present in the top 20 of candidates with most television news exposure. However, this ‘discrimination’ did not remain significant when we controlled for other variables."</t>
  </si>
  <si>
    <t xml:space="preserve">Having appeared on TV, yes or no. Analysis: logistic regression predicting whether an actor appeared on TV or not. </t>
  </si>
  <si>
    <t>Coefficient for male: 0.33, therefore odds ratio is (e^.33=) 1.39</t>
  </si>
  <si>
    <t>Based on TV only, using odds ratio in the regression</t>
  </si>
  <si>
    <t>TV and Newspapers, here the results on newspapers are discussed. "The newspaper coverage is measured by
counting the number of articles (in the eight Dutch-language newspapers) in which the candidate is mentioned at least once" "The data were gathered on the basis of Mediargus, an electronic news archive that contains all articles of all eight Flemish newspapers."</t>
  </si>
  <si>
    <t>"The eight newspapers are: De Standaard, De Morgen, De Tijd, Het Laatste Nieuws, De Gazet van Antwerpen, Het Volk, Het Belang van Limburg and Het Nieuwsblad."</t>
  </si>
  <si>
    <t>min 20600</t>
  </si>
  <si>
    <t>Visibility. "Only one out of 10 female candidates was mentioned in more than 15 articles compared to almost one out of three male candidates. Surprisingly, this substantial newspaper bias against female candidates was still significant, after controlling for the incumbency effect."</t>
  </si>
  <si>
    <t xml:space="preserve">Number of articles. Analysis: Multinomial regression, with reference category 0-15 articles, and two categories, 15-24 and 25 or more articles. </t>
  </si>
  <si>
    <t>Coefficient for male: 0.47 for model predicting newspaper coverage in category 15-24 article relative to reference category of &lt;15. Therefore odds ratio is (e^.47=) 1.60. Note: there are also results predicting newspaper coverage in category +25 relative to the reference, these are not used here. For these results the coefficient of male is 0.57 and the odds ratio 1.77.</t>
  </si>
  <si>
    <t>Based on newspapers only, using odds ratio in the regression</t>
  </si>
  <si>
    <t>Dan and Iorgoveanu (2013)</t>
  </si>
  <si>
    <t>Still On the Beaten Path: How Gender Impacted the Coverage of Male and Female Romanian Candidates for European Office</t>
  </si>
  <si>
    <t>Dan, V., &amp; Iorgoveanu, A. (2013). Still on the beaten path: How gender impacted the coverage of male and female Romanian candidates for European Office. The International Journal of Press/Politics, 18(2), 208-233.</t>
  </si>
  <si>
    <t>Romania</t>
  </si>
  <si>
    <t>Newspapers, articles on the websites of four broadsheets and tabloids</t>
  </si>
  <si>
    <t>News stories from the web sites of the most influential broadsheets and tabloids in Romania, namely, Cancan, Evenimentul Zilei, Gândul, and Libertatea.</t>
  </si>
  <si>
    <t>Newspaper web articles</t>
  </si>
  <si>
    <t>Articles by candidate</t>
  </si>
  <si>
    <t>Quantity of coverage. Women are covered slightly more in the tabloid papers, men slightly more in the broadsheet papers.</t>
  </si>
  <si>
    <t>3. Women more viability coverage, unknown significance</t>
  </si>
  <si>
    <t>Horse race coverage. "female candidates altogether received considerably more horse-race coverage than their male counterparts." Percentages horse race coverage for the two female candidates were 70.6% and 81.2%; for the two male candidates they were 27.4% and 73.6%. Singificance not testen (would be possible to reconstruct).</t>
  </si>
  <si>
    <t xml:space="preserve">Viability assessment. Suitable and somewhat suitable are combined, and compared against unsuitable. </t>
  </si>
  <si>
    <t>"Trivialization frame as an index consisting of remarks on a range of variables surrounding candidates’ appearance, personality, roles, and nonpolitical pictures." One female politician (Elena Băsescu) was framed this way often (28.5%), one male politician a number of times (4%), and one male and one female politician both never (0%). Significance not tested.</t>
  </si>
  <si>
    <t>The authors also looked at the economic status conveyed in the coverage: "portrayed as poor, well off, or rich, either explicitly or implicitly". "Economic status received media attention only in the case of Elena Băsescu and George Becali; this involved thirteen articles for Elena Băsescu (12.3 percent) and fifty-five for George Becali (44.3 percent). Most of these portrayed both of them as privileged: Elena Băsescu (n = 12) and George Becali (n = 48)." Significance not tested.</t>
  </si>
  <si>
    <t>Character trait coverage, amount. "Regarding the coverage of character traits, the analysis showed that—of all the candidates—George Becali acquired the most traits coverage (77.4 percent), followed by Monica Macovei (62.5 percent), Elena Băsescu (45.7 percent), and Adrian Severin (36.8 percent)." Significance not tested.</t>
  </si>
  <si>
    <t>Issue frames. "Issue frames were virtually nonexistent in the sample for male candidates.9 For female candidates, however, the issue frame represented a fairly important part of the coverage, both in tabloid and broadsheet outlets (23.8 percent for Elena Băsescu, 68.7 percent for Monica Macovei)." Significance not tested.</t>
  </si>
  <si>
    <t>"the following issues were considered to be “male issues”: European legislation, economy, military/defense, justice, and energy policy. On the other hand, education, environment, health care, and social programs/issues were considered “female issues.”" The results mainly show that the male candidates did not receive much issue coverage at all. All candidates received more coverage of 'male' issues than of 'female' issues.</t>
  </si>
  <si>
    <t>"We treated sensitive, passive, noncompetitive, dependent, honest, and subjective as female traits and the rest as male traits." George Becali receive most trait coverage, both on male and female traits. Therefore, the two famel candidates receive about average coverage on male traits and on female traits. If you take the percentage of female trait coverage relative to the total of (male and female) trait coverage per candidate, Elena Basescu and
Monica Macovei score 44% and 30% respective, and George Becali and Adrian Severin score 34% and 0% respectively.</t>
  </si>
  <si>
    <t>Gender role. "Verbally, the data showed that the news reports emphasized candidate gender and gender role for the female candidates: While 72.3 percent (n = 76) of the articles featuring Elena Băsescu focused on her gender role, only six (n = 4.8) did the same for George Becali." "Furthermore, we noticed that the media coverage related the gender of the candidate to their political prospects only seven times, all for Elena Băsescu (6.6 percent). This connection was negative." Significance not tested.</t>
  </si>
  <si>
    <t>The researchers also inspect the amount of direct quotes: "The number of direct quotes was slightly lower for female candidates; the male-issued direct quotes accounted for 55.7 percent (n = 63) of the articles featuring direct quotes."</t>
  </si>
  <si>
    <t xml:space="preserve">In addition, the researchers look at the visuals accompanying articles, and code them for their favorability: "overall, visuals were more favorable for female candidates". Furthermore, they inspected whether the issue coverage portrayed the candidates as capable of handeling the issue, and found that the female candidates were largely described as incapable of dealing with the issues (men received nearly zero issue coverage, so also no capability assesments on the issues). </t>
  </si>
  <si>
    <r>
      <t xml:space="preserve">Number of articles, number of direct quotes (taken together as 'verbal pressence') and number of photographs. Used here (for comparability) is verbal only, so the measure is </t>
    </r>
    <r>
      <rPr>
        <u val="single"/>
        <sz val="11"/>
        <color indexed="8"/>
        <rFont val="Calibri"/>
        <family val="2"/>
      </rPr>
      <t>percentage of articles describing or quoting the politician</t>
    </r>
    <r>
      <rPr>
        <sz val="11"/>
        <color theme="1"/>
        <rFont val="Calibri"/>
        <family val="2"/>
      </rPr>
      <t>. Percentages are estimated from the graph.</t>
    </r>
  </si>
  <si>
    <t>Tabloids: f 16.35%, m 10.5%. Broadsheets: f 32.5%, m 40.65%.</t>
  </si>
  <si>
    <t>Gidengil and Everitt (1999)</t>
  </si>
  <si>
    <t>Metaphors and Misrepresentation. Gendered Mediation in News Coverage of the 1993 Canadian Leaders' Debates</t>
  </si>
  <si>
    <t>Gidengil, E., &amp; Everitt, J. (1999). Metaphors and misrepresentation: Gendered mediation in news coverage of the 1993 Canadian leaders' debates. Harvard International Journal of Press/Politics, 4(1), 48-65.</t>
  </si>
  <si>
    <t>Nat. Party Leaders</t>
  </si>
  <si>
    <t>TV news on two broadcasters (one public one private) about 2 TV debates (one French, one English)</t>
  </si>
  <si>
    <t>Coverage in the media is compared to confrontational behavior by politicians in the two TV debates. Confrontational behavior is measured using five indicators (using 'you', mentioning opponents by name, interrupting, finger-pointing and fist-clenching)</t>
  </si>
  <si>
    <t>1. Candidate's own campaign messages / communication</t>
  </si>
  <si>
    <t>Metaphors</t>
  </si>
  <si>
    <t>Percentages of types of metaphor by politician</t>
  </si>
  <si>
    <t>The researchers inspect the types of metaphors used in the media to discuss the party leaders' debates, and they compare this to the confrontational behavior of politicians in the debates (measured by: using 'you', mentioning opponents by name, interrupting, finger-pointing and fist-clenching). They categorize 7 types of metaphor: warfare, general violence, sports and games, theater and show business, natural phenomena, occupations and movement (and other). Most striking finding is that within the warfare metaphors, the media use attack metaphors most for the two women leaders. No significance is tested.</t>
  </si>
  <si>
    <t>Gidengil and Everitt (2000)</t>
  </si>
  <si>
    <t>Filtering the female. Television news coverage of the 1993 Canadian leaders’ debates</t>
  </si>
  <si>
    <t>Women &amp; Politics</t>
  </si>
  <si>
    <t>Gidengil, E., &amp; Everitt, J. (2000). Filtering the female: Television news coverage of the 1993 Canadian leaders' debates. Women &amp; Politics, 21(4), 105-131.</t>
  </si>
  <si>
    <t>TV news on two broadcasters (one public one private) about 2 TV debates (one French, one English). For the analysis on interpretive reporting of both debates is used, for the analysis on sound bites only coverage of the English language debate is used.</t>
  </si>
  <si>
    <t>Soundbites compared with own behavior</t>
  </si>
  <si>
    <t>Sentence and soundbite</t>
  </si>
  <si>
    <t>Percentages per politician</t>
  </si>
  <si>
    <t>NA.</t>
  </si>
  <si>
    <t>Sound bites: number and length quite even for men and women (or women slightly more). The soundbites that were selected of Campbell (the main female contender) overly showed confrontational behavior.</t>
  </si>
  <si>
    <t xml:space="preserve">The reseachers inspect interpretative reporting and sound bites. Interpretive reporting: sentences coded as either descriptive, analytical, or evaluative (latter two more interpretation). Main female leader received less descriptive and more 'mediated' (analytical and evaluative) reporting than her main male opponent. This was not so for the smaller party female candidate; she did receive much less coverage. </t>
  </si>
  <si>
    <t>Frequency and length of soundbites. Note: authors argue that longer soundbites are less 'mediated' and offer more direct exposure. Here, it is about visibility of any kind, so simply the total time in soundbites is taken as measure of visibility. Measure is total seconds of soundsbites.</t>
  </si>
  <si>
    <t>Campbell (f): 171.3; Chrétien (m): 155.2; McLaughlin (f): 125.6; Manning (m): 119.9 (Bouchard (m): 53.7, but was only a candidate in French speaking part, so covered less on English speaking channels).</t>
  </si>
  <si>
    <t>Gidengil and Everitt (2003a)</t>
  </si>
  <si>
    <t>Conventional Coverage / Unconventional Politicians: Gender and Media Coverage of Canadian Leaders' Debates</t>
  </si>
  <si>
    <t>Canadian Journal of Political Science</t>
  </si>
  <si>
    <t>Gidengil, E., &amp; Everitt, J. (2003a). Conventional coverage/unconventional politicians: Gender and media coverage of Canadian leaders' debates, 1993, 1997, 2000. Canadian Journal of Political Science/Revue canadienne de science politique, 36(3), 559-577.</t>
  </si>
  <si>
    <t>1993, 1997, 2000</t>
  </si>
  <si>
    <t>TV news on two broadcasters (one public one private) about TV debates.</t>
  </si>
  <si>
    <t>The researchers inspect the types of metaphors used in the media to discuss the party leaders' debates, and they compare this to the confrontational behavior of politicians in the debates (measured by: using 'you', mentioning opponents by name, interrupting, finger-pointing and fist-clenching). They categorize 7 types of metaphor: warfare, general violence, sports and games, theater and show business, natural phenomena, occupations and movement (and other). In the first debate, the coverage of female (big party) candidate Campbell focussed disproportionately on her compative behavior. Also in the first debate, the other female candidate (McLaughlin) was also portrayed quite aggressively. In the second and third debates, the one female candidate (McDonough) was barely visible in the coverage. No significance is tested.</t>
  </si>
  <si>
    <t>Gidengil and Everitt (2003b)</t>
  </si>
  <si>
    <t>Talking tough: gender and reported speech in campaign news coverage</t>
  </si>
  <si>
    <t>Gidengil, E., &amp; Everitt, J. (2003b). Talking tough: Gender and reported speech in campaign news coverage. Political Communication, 20(3), 209-232.</t>
  </si>
  <si>
    <t>1993, 1997</t>
  </si>
  <si>
    <t>Verbs for reported speech (e.g. 'says')</t>
  </si>
  <si>
    <t>Verbs by sex; in some analyses leaders</t>
  </si>
  <si>
    <t>The researchers inspect the verbs used to report on what the party leaders said during the debates. First, in an experiment is determined how positive or negative the affect of reported speech verbs is, as well as how aggressive. Second, the verbs used to cover the leaders after the debates on TV are counted using the affect and aggressiveness scores. Main findings: 1. Less neutral and more negatively charged verbs were used for women; 2. More rare verbs were used for women; 3. More aggressive verbs were used for women. Other findings: 4. women rate negative words more negatively and aggressive words as more aggressive; 5. Female reporters used negative verbs somewhat more.</t>
  </si>
  <si>
    <t>Everitt (2003)</t>
  </si>
  <si>
    <t>Media in the Maritimes: Do Female Candidates Face a Bias?</t>
  </si>
  <si>
    <t>Atlantis</t>
  </si>
  <si>
    <t>Everitt, J. (2003). Media in the Maritimes: Do female candidates face a bias?. Atlantis: Critical Studies in Gender, Culture &amp; Social Justice, 27(2), 90-98.</t>
  </si>
  <si>
    <t>Provinces</t>
  </si>
  <si>
    <t>Plurality/Majority PFTP, source: https://en.wikipedia.org/wiki/Elections_in_Canada</t>
  </si>
  <si>
    <t>1999, 2000</t>
  </si>
  <si>
    <t>Newspapers (6)</t>
  </si>
  <si>
    <t>six Maritime newspapers. The coverage of the 1999 New Brunswick election is drawn from the Telegraph Journal, the Times Globe and the Daily Gleaner. For coverage of the 1999 Nova Scotia election the analysis focuses on articles found in the Halifax Chronicle Herald and the Cape Breton Post. The Guardian is the source for the analysis of the coverage of the 2000 PEI election.</t>
  </si>
  <si>
    <t>Analysis with and without party leaders</t>
  </si>
  <si>
    <t>About 75 (very rough estimate)</t>
  </si>
  <si>
    <t>Percentages by sex</t>
  </si>
  <si>
    <t>Attention, proportion of coverage. "Women comprised 25.6 percent of the candidates running in these three elections and received 24.2 percent of the media coverage"</t>
  </si>
  <si>
    <t>Horse race coverage. "women were no more likely to receive horse race coverage than men"</t>
  </si>
  <si>
    <t>Viability assesment, evaluations of their electoral viability. "nor was their electoral viability assessed more negatively than men's"</t>
  </si>
  <si>
    <t>3. Women more family coverage, unknown significance</t>
  </si>
  <si>
    <t>Family and personal lives, family and personal information. "In all three provinces the coverage received by female candidates contains more discussions of their family and personal lives than does the coverage received by male candidates. Eighteen per cent of the coverage accorded to the women included references to their spouses, children or family situation. [..] On the other hand, 11 percent of the coverage given to men made these sorts of references [..]" Significance not reported.</t>
  </si>
  <si>
    <t>Attention to appearance or stereotypical traits. Overall, there are no differences between men and women in their coverage on this, although one female politician received a lot of attention to her appearance. This was mainly due to the fact that she broke her ankle during the race and the broken ankle was described often.</t>
  </si>
  <si>
    <t>Family and personal lives, family and personal information. "In all three provinces the coverage received by female candidates contains more discussions of their family and personal lives than does the coverage received by male candidates. Eighteen per cent of the coverage accorded to the women included references to their spouses, children or family situation. [..] On the other hand, 11 percent of the coverage given to men made these sorts of references [..]"</t>
  </si>
  <si>
    <t>Issue coverage, campaign issue. 33% of stories with a female candidate mentioned issues, 41% of stories with a main candidate. But if leaders were excluded this was equal. But the results without party leaders do differ over provinces: in New Brunswick women received more issue coverage, and in the other two provinces men received more issue coverage. Significance not tested.</t>
  </si>
  <si>
    <t>Percentage of articles mentioning female candidates, compared to percentage of female candidates.</t>
  </si>
  <si>
    <t>Women comprised 25.6 percent of the candidates running in these three elections and received 24.2 percent of the media coverage.</t>
  </si>
  <si>
    <t>The number of candidates in the study is not mentioned in the text. It is coded here based on external sources, namely the number of candidates in the Brunswick 1999 election (197) according to https://en.wikipedia.org/wiki/1999_New_Brunswick_general_election, the Nova Scotia 1999 election (179) according to https://en.wikipedia.org/wiki/1999_Nova_Scotia_general_election, and the Prince Edward Island 2000 election (81) according to https://en.wikipedia.org/wiki/2000_Prince_Edward_Island_general_election. Total 197+179+81=457</t>
  </si>
  <si>
    <t>Trimble (2007)</t>
  </si>
  <si>
    <r>
      <t xml:space="preserve">Gender, Political Leadership and Media Visibility: </t>
    </r>
    <r>
      <rPr>
        <i/>
        <sz val="11"/>
        <color indexed="8"/>
        <rFont val="Calibri"/>
        <family val="2"/>
      </rPr>
      <t>Globe and Mail</t>
    </r>
    <r>
      <rPr>
        <sz val="11"/>
        <color theme="1"/>
        <rFont val="Calibri"/>
        <family val="2"/>
      </rPr>
      <t xml:space="preserve"> Coverage of Conservative Party of Canada Leadership Contests</t>
    </r>
  </si>
  <si>
    <t>Trimble, L. (2007). Gender, political leadership and media visibility: Globe and Mail coverage of Conservative Party of Canada leadership contests. Canadian Journal of Political Science/Revue canadienne de science politique, 40(4), 969-993.</t>
  </si>
  <si>
    <t>Party leader contest (primary of conservative party)</t>
  </si>
  <si>
    <t>1976, 1993, 2004</t>
  </si>
  <si>
    <t>Newsaper (1)</t>
  </si>
  <si>
    <t>Globe and Mail. "The Globe and Mail was chosen as the news source for this study because it has covered Canadian politics since 1844, maintains a large nationwide readership, and has a well-recognized and undisputed agenda-setting role among the Canadian media"</t>
  </si>
  <si>
    <t>All same party, so controlled for party by design, ballot position taken into account</t>
  </si>
  <si>
    <t>News presence, visibility. "Discrete measures of visibility were employed in this study to account for both presence and placement. For each news story I coded whether or not each candidate was: 1) named in the story; 2) named first in the story; 3) named four or more times in the story; 4) named in the headline; and 5) named first in the headline"</t>
  </si>
  <si>
    <t>Horse-race. "If the story was primarily concerned with the candidate’s place in the leadership race or other strategic concerns, it was coded as a horse-race story." On average, the women are covered slightly less often in horse-race framing: the average percentage of the three is 78, while for the eight men it is 85.25%. This is without significance test, and the interpretation in the article is of equal amounts, at least explicitly for the first of the three races (for the other two there is no explicit interpretation).</t>
  </si>
  <si>
    <t>"All mentions of a candidate’s marriage, spouse, marital status or children were coded as a reference to their family life." Significance not tested.</t>
  </si>
  <si>
    <t>"any reference made to the candidate’s looks, clothing, sexual allure or body was coded as an allusion to appearance." Significance not tested.</t>
  </si>
  <si>
    <t>Background, career, personal life. Stories "stressing the candidate’s career, personal life or other aspects of his or her background were coded as having a candidate background focus." Significance not tested.</t>
  </si>
  <si>
    <t>Issue positions, policy ideas. "Stories that foregrounded the candidate’s issue positions or policy ideas were classified as issue-based."</t>
  </si>
  <si>
    <t>Percentage of articles naming the candidate. Also reported: named first, named 4 or more times, named in headline, named first in headline.</t>
  </si>
  <si>
    <t>1976: m: 49%, 55%, 40%, 20%, 36%. F: 44%. 1993: m: 80%. F: 98%. 2004: m: 84%, 68%. F: 91%.</t>
  </si>
  <si>
    <t>Wagner (2010)</t>
  </si>
  <si>
    <t>On their best behaviour? Newspaper journalists' coverage of women municipal candidates in Alberta</t>
  </si>
  <si>
    <t>Canadian Political Science Review</t>
  </si>
  <si>
    <t>Wagner, A. (2011). On their best behaviour? Newspaper journalists' coverage of women municipal candidates in Alberta. Canadian Political Science Review, 5(1), 38-54.</t>
  </si>
  <si>
    <t>Plurality/Majority FPTP. Apparently this method, but not completely certain. Source: https://en.wikipedia.org/wiki/Municipal_elections_in_Canada</t>
  </si>
  <si>
    <t xml:space="preserve">Newspapers (6) </t>
  </si>
  <si>
    <t>"I selected the Tofield Mercury, Millet Pipestone Flyer, and St. Albert Gazette community newspapers as well as the small-circulation Red Deer Advocate, the medium-circulation Edmonton Sun, and the largecirculation Edmonton Journal daily newspapers"</t>
  </si>
  <si>
    <t>No controls, analyses also split out by newspaper and region</t>
  </si>
  <si>
    <t>NA. Visibility is not explicitly addressed, but the share of stories about female candidates is mentioned: 92 of the 182 stories while male candidates appear in 180 of 182 stories. Given that women make up 25 of 98 candidates, women candidates are on average more visible.</t>
  </si>
  <si>
    <t>6. Men more family, mixed significance</t>
  </si>
  <si>
    <t>Mentions of gender, age, appearance, family background or emotions. 'Like other personal trait depictions, men were subjected to greater scrutiny of their marital status or family background than were women.' Significance not tested.</t>
  </si>
  <si>
    <t>5. Men more appearance, unknown significance</t>
  </si>
  <si>
    <t>Mentions of gender, age, appearance, family background or emotions. 'Appearance was the personal characteristic least likely to be mentioned for either women or men. A male candidate’s appearance was noted in five percent of stories compared to 1.1 percent for women candidates.' Significance not tested.</t>
  </si>
  <si>
    <t>NA, mentions of gender, age, appearance, family background or emotions. 'journalists mentioned personal traits less often for female candidates than they did for male candidates' Significance not tested.</t>
  </si>
  <si>
    <t>Issue coverage, stances on topics. "Female candidates’ stances on topics ranging from taxes and roads to public parks and the arts were mentioned in 63 percent of their stories. Men fared better at 73.8 percent, but the high level of issue coverage for both groups suggests journalists took a serious approach to the 2007 municipal elections." Significance not tested.</t>
  </si>
  <si>
    <t>5. Men more mention of their gender, unknown significance</t>
  </si>
  <si>
    <t>Male candidates were twice as likely to see local journalists highlight their gender, with it mentioned in 18.8 percent of their stories compared to 9.8 percent for female candidates.' Significance not tested.</t>
  </si>
  <si>
    <t>Women are quoted less than men: "women were quoted an average of 49.29 words per story compared to 98.11 words for men". However, differences are not significant (see footnote 9)</t>
  </si>
  <si>
    <t>Mentions of age and emotions (both are also included in personal coverage), and quotations. The age of men is mentioned in a greater proportion of articles: 38.% against 21.7% for women. Emotions are mentioned about equally often: in 7.6% of articles on women and 8.8% of articles on men.  In addition, some results are split out by the sex of the journalist.</t>
  </si>
  <si>
    <t>Reported: number of articles about female candidates and number about male candidates. Calculated from this: Mean number of articles per person per gender.</t>
  </si>
  <si>
    <t xml:space="preserve">"Female council candidates were feature[d] in just 92 of the 182 stories while male candidates appeared in 160 stories." (p. 44) </t>
  </si>
  <si>
    <t>Gattermann and Vasilopoulou (2015)</t>
  </si>
  <si>
    <t>Absent yet popular? Explaining news visibility of Members of the European Parliament</t>
  </si>
  <si>
    <t>European Journal of Political Research</t>
  </si>
  <si>
    <t>Gattermann , K., &amp; Vasilopoulou, S. (2015). Absent yet popular? Explaining news visibility of Members of the European Parliament. European Journal of Political Research, 54(1), 121-140.</t>
  </si>
  <si>
    <t>EU: Britain, France, the Netherlands, Germany and Italy</t>
  </si>
  <si>
    <t>2009, 2010, 2011</t>
  </si>
  <si>
    <t>National broadsheets, two per country</t>
  </si>
  <si>
    <t>legislative activity, legislative position, government participation, age, tenure, party size, country dummies, etc.</t>
  </si>
  <si>
    <t>About 100-120</t>
  </si>
  <si>
    <t>Mentions, weighing headline mentions more heavily</t>
  </si>
  <si>
    <t>MEP per month, 302 MEPs times 25 months</t>
  </si>
  <si>
    <t>Visibility. Overall, there is no gender difference in visibility. "When the most visible MEPs are removed from the analysis, the effect of being female is negative (–0.39) implying that men tend to be more visible in the news than women among those MEPs who do not receive a lot of news coverage. However, if we only consider those MEPs who receive regular news coverage, this effect is positive and significant (5.27) suggesting that women are more visible than men.These results are likely to be driven by certain MEPs such as Marine Le Pen and Silvana Koch-Mehrin, who were among the most visible and received regular press coverage."</t>
  </si>
  <si>
    <t xml:space="preserve">Visibility score through log formula (p. 127). OLS model (Driscoll-Kraay SEs), coefficient for female. </t>
  </si>
  <si>
    <t>Mean visibility score: 2.44. Coefficient female: 0.281 (SE 0.278). Solve Mtot = .36*Mf + .64*Mm and Mm = Mf - .281 gives Mm=2.33884 and Mf=2.61984.</t>
  </si>
  <si>
    <t>Conroy, Oliver, Breckenridge-Jackson, and Heldman (2015)</t>
  </si>
  <si>
    <t>Conroy et al. (2015)</t>
  </si>
  <si>
    <t>From Ferraro to Palin: Sexism in Coverage of Vice Presidential Candidates in Old and New Media</t>
  </si>
  <si>
    <t>Politics, Groups, and Identitties, special virtual issue.</t>
  </si>
  <si>
    <t>Conroy, M., Oliver, S., Breckenridge-Jackson, I., &amp; Heldman, C. (2015). From Ferraro to Palin: sexism in coverage of vice presidential candidates in old and new media. Politics, Groups, and Identities, 3(4), 573-591.</t>
  </si>
  <si>
    <t>Vice-presidents</t>
  </si>
  <si>
    <t xml:space="preserve"> 1984, 1988, 1992, 1996, 2000, 2004, 2008</t>
  </si>
  <si>
    <t>Newspapers and blogs (latter only Palin). 'Major newspapers' in LexisNexis.</t>
  </si>
  <si>
    <t>"The “major papers” ﬁlter of LexisNexis was used, which includes the top 57 circulated" Wire services were also included.</t>
  </si>
  <si>
    <t>Paired vice-presidents, controls for year, incumbent, democrat, sex of author.</t>
  </si>
  <si>
    <t>Newspaper articles by candidate</t>
  </si>
  <si>
    <t>Amount of coverage, volume of articles. Candidate-only articles as percentage of total articles.</t>
  </si>
  <si>
    <t>1. Men more positive, significant</t>
  </si>
  <si>
    <t>Negative coverage, tone. "We found male candidates received nearly twice the amount of “Very” or “Somewhat Positive” coverage than female candidates (40.1% compared to 26.3%; p&lt;.001). Furthermore, female candidates received twice the amount of negative coverage (40.0%) as male candidates (20.2%) (p&lt;.001)."</t>
  </si>
  <si>
    <t>Caretaker coverage, coverage of their family or caretaking roles.</t>
  </si>
  <si>
    <t>Appearance coverage.</t>
  </si>
  <si>
    <t>Policy coverage, discussing a policy issue. In male candidates' coverage, policy issues are discussed more often, but controlling for other factors, these differences disappear.</t>
  </si>
  <si>
    <t>The authors also consider 'hard sexism' in coverage, including overtly sexualizing. This occurs significantly more often in coverage of female candidates. In addition, the researchers compare Vice-presidential candidate Palin's coverage in 'old media' (measured by newspaper articles) to the coverage online. This concerns a comparison between to two media types for one (female) politician, and no comparison between male and female politicians; therefore it is not included here.</t>
  </si>
  <si>
    <t>Total articles for (also reported: articles *solely* about the candidate)</t>
  </si>
  <si>
    <t xml:space="preserve">Ferraro (f) 200, Bush (m) 67; Palin (f) 302, Biden (m) 111. Male only vice presendent candidates in years between: Quayle 127, Bentsen 197, Quayle 181, Gore 145, Kemp 170, Gore 124, Cheney 114, Lieberman 130, Cheney 105, Edwards 163 </t>
  </si>
  <si>
    <t>Miller, Peake and Boulton (2010)</t>
  </si>
  <si>
    <t>Miller et al. (2010)</t>
  </si>
  <si>
    <t>Testing the Saturday Night Live Hypothesis: Fairness and Bias in Newspaper Coverage of Hillary Clinton's Presidential Campaign.</t>
  </si>
  <si>
    <t>Miller, M. K., Peake, J. S., &amp; Boulton, B. A. (2010). Testing the Saturday Night Live hypothesis: Fairness and bias in newspaper coverage of Hillary Clinton's presidential campaign. Politics &amp; Gender, 6(2), 169-198.</t>
  </si>
  <si>
    <t>Presidential primary</t>
  </si>
  <si>
    <t>"Articles and editorials covering the 2008 presidential campaign were content-coded from the top-circulating newspaper in all states holding their Democratic nominating contest on or before Super Tuesday.2 The Washington Post and the Wall Street Journal were also included to represent leading newspapers of record, bringing the total number of newspapers to 25."</t>
  </si>
  <si>
    <t>Hillary Clinton</t>
  </si>
  <si>
    <t>Newspaper articles and newspaper articles by candidate.</t>
  </si>
  <si>
    <t>Amount of coverage. "Clinton garnered significantly more coverage than her rivals on every measure of coverage amount (Table 1)." Measures are percentage of articles that mention candidate, percentage primarily about candidate, mean number of sentences about candidate and percentage with candidate in headline.</t>
  </si>
  <si>
    <t>Tone of trait coverage. Negative versus positive traits. "Coverage of Clinton’s personality and image traits was positive on balance — with 18.1% of her articles referencing positive traits and 17.3% mentioning negative traits, for a net difference of þ0.8. Obama, Edwards, and Richardson, however, enjoyed much more favorable trait skews, ranging from þ4.7 (Edwards) to þ6.0 (Obama). Moreover, Clinton’s positive trait references were significantly lower than Obama’s, while her negative trait references were significantly higher than all of her rivals."</t>
  </si>
  <si>
    <t>NA. However, the authors do look at the share of articles mentioning candidates qualifications. "Articles mentioning Clinton made reference to her qualifications for president 12.8% of the time. This rate is statistically equivalent to Richardson’s (14.9%) and significantly higher than Obama’s (9.0%) and Edwards’s (7.7%)." In addition, as a positive trait, they include "Electable / viable / able to win / good campaigner", and compare the coverage of Obama and Clinton on this. 6.4% of Clinton's positive trait coverage mentions this, and 5.0% of Obama's positive trait coverage. The amount of total positive trait coverage is comparable for both candidates.</t>
  </si>
  <si>
    <t>Marital status. "Clinton’s marital status was mentioned at a rate nearly six times that of Obama. Clinton’s husband, however, is a newsworthy former president who was actively campaigning for her. Mentions of the former president were, however, highly correlated with the questioning of Clinton’s electability. When Bill Clinton was not mentioned in her articles, Clinton’s electability was questioned just 1.7% of the time; when he was mentioned in her articles, Clinton’s electability was questioned 5.9% of the time — nearly 3.5 times as often (p , .001). "</t>
  </si>
  <si>
    <t>Appearance, clothing. "Table 2 indicates that only 2.4% of the articles mentioning Clinton made reference to her clothing and appearance — a rate significantly higher than Obama’s but statistically indistinguishable from those of Edwards and Richardson. This suggests very limited support for a gendering of Clinton’s press coverage on the “hair and hemline dimension.”" In table: Clinton 2.4%, Obama 1.5%, Edwards 1.7%, Richardson 2.2%.</t>
  </si>
  <si>
    <t xml:space="preserve">The authors also inspect references to the candidates' qualifications. "Articles mentioning Clinton made reference to her qualifications for president 12.8% of the time. This rate is statistically equivalent to Richardson’s (14.9%) and significantly higher than Obama’s (9.0%) and Edwards’s (7.7%)." </t>
  </si>
  <si>
    <t>Personality coverage. Obama and Clinton -the front-runners- received equal amounts of attention to their personalities. Lower ranked candidates received less.</t>
  </si>
  <si>
    <t>Substance, issue content. "Clinton’s coverage also included a large dose of issue content. She was linked to issues and policies in 34.5% of the articles mentioning her. This rate was commensurate with those of Edwards and Richardson, and significantly higher than that posted by Obama (30.2%)."</t>
  </si>
  <si>
    <t>11. Women more on male traits, women more on female traits, unknown significance</t>
  </si>
  <si>
    <t>The authors do not explicitly address this, but as part of personal traits, the authors include "expertise masculinity traits" like intelligent, capable, qualified, etc.; "dominance masculinity traits" like strong leader, tough, confident, determined, etc.; "charismatic authority traits" like transformative, charismatic, energetic, good speaker, etc.; "feminine traits" like likeable, friendly, warm, etc.; and "other positive traits" like honest, authentic, gets things done, etc. Positive trait coverage of Clinton and Obama is compared. Clinton scores higher on "expertise masculinity traits" (30.5% vs 6.9%), on "dominance masculinity traits" (21.6% vs 12.8%), lower on "charismatic authority traits" (6.9% vs 51.4%), higher on "feminine traits" (11.3% vs 5.0%), and higher on "other positive traits" (23.4% vs 19.4%).</t>
  </si>
  <si>
    <t>Results are mixed. As part of personal traits, the authors include "expertise masculinity traits" like intelligent, capable, qualified, etc.; "dominance masculinity traits" like strong leader, tough, confident, determined, etc.; "charismatic authority traits" like transformative, charismatic, energetic, good speaker, etc.; "feminine traits" like likeable, friendly, warm, etc.; and "other positive traits" like honest, authentic, gets things done, etc. Positive trait coverage of Clinton and Obama is compared. Clinton scores higher on "expertise masculinity traits" (30.5% vs 6.9%), on "dominance masculinity traits" (21.6% vs 12.8%), lower on "charismatic authority traits" (6.9% vs 51.4%), higher on "feminine traits" (11.3% vs 5.0%), and higher on "other positive traits" (23.4% vs 19.4%).</t>
  </si>
  <si>
    <t>Mentions of the candidate's gender.</t>
  </si>
  <si>
    <t>Percentage of articles mentioning candidate. (Also: primary subject of article, number of column inches, number of sentences devoted to candidate, headline mentions.)</t>
  </si>
  <si>
    <t>Clinton (f) 59.3%, Obama 52.4%, Edwards 34.4%, Richardson 12.4%. (Dodd 11.0%, Biden 10.0%, Kucinch 4.8%, Gravel 1.4%.)</t>
  </si>
  <si>
    <t>Four main candidates used, comparison could arguable also be restricted to Clinton and Obama as main contenders.</t>
  </si>
  <si>
    <t>Lawrence and Rose (2011)</t>
  </si>
  <si>
    <t>Bringing Out the Hook: Exit Talk in Media Coverage of Hillary Clinton and Past Presidential Campaigns</t>
  </si>
  <si>
    <t>Lawrence, R. G., &amp; Rose, M. (2011). Bringing out the hook: exit talk in media coverage of Hillary Clinton and past presidential campaigns. Political Research Quarterly, 64(4), 870-883.</t>
  </si>
  <si>
    <t>1976, 1980, 1984, 1988, 2008</t>
  </si>
  <si>
    <t>1 Newspaper (New York Times)</t>
  </si>
  <si>
    <t>New York Times, accessed through Nexis and electronic database of New York Times.</t>
  </si>
  <si>
    <t>No formal controls, but some control by design: only runner-up candidates in primary races are included.</t>
  </si>
  <si>
    <t>Paragraphs. 5628 newspaper articles are coded, of which 259 contain exit talk, totalling 783 paragraphs of exit talk.</t>
  </si>
  <si>
    <t>Paragraphs and articles. Most analyses are within the set of paragraphs on exit talk, except in the beginning when the analyses give the share of exit talk relative to all articles.</t>
  </si>
  <si>
    <t>Exit talk, discussions of the candidate dropping out of the race. Of the five runner-up candidates, the female candidate Clinton received the highest percentage os exit talk, in 6.9 percent of articles. The other (male) candidates received 1.4, 6.3, 3.6, and 3.0 percent exit talk. Significance not tested (would be possible to reconstruct).</t>
  </si>
  <si>
    <t>The authors inspect the amount of exit talk, the type of exit talk (denials of exit, explicit exit calls, other discussions of exit) and whether the exit talk mentions a source.</t>
  </si>
  <si>
    <t>Fowler and Lawless (2009)</t>
  </si>
  <si>
    <t>Looking for Sex in All the Wrong Places: Press Coverage and the Electoral Fortunes of Gubernatorial Candidates</t>
  </si>
  <si>
    <t>Perspectives on Politics</t>
  </si>
  <si>
    <t>Fowler, L. L., &amp; Lawless, J. L. (2009). Looking for sex in all the wrong places: Press coverage and the electoral fortunes of gubernatorial candidates. Perspectives on Politics, 7(3), 519-536.</t>
  </si>
  <si>
    <t>1990, 1992, 1993, 1994, 1996, 1997</t>
  </si>
  <si>
    <t>The data come
from each state’s most widely distributed newspaper,
accessed through Lexis-Nexus, Dialog, and microfiche.</t>
  </si>
  <si>
    <t>Party, candidate quality, open seat, proximity of general election, timing of primary, percentage women in state legislature, 'normal' percentage republican, length of article.</t>
  </si>
  <si>
    <t>Percent of coverage. "Overall, men received a total of 49.2 percent of the coverage we tracked, and women received 50.8 percent."</t>
  </si>
  <si>
    <t>NA. Not tested seperately, but included as part of personal trait coverage. Personal traits include "appearance, mannerisms, personality, and marital and parental status". In a bivariate analysis, women received more attention to personal traits, but the difference does not hold up in a multivariate analysis.</t>
  </si>
  <si>
    <t>The authors also inspect personal background and political background. In a multivariate analysis, sex of the candidate had no effect on the occurrence of these coverage types.</t>
  </si>
  <si>
    <t>Not tested seperately, but included as part of personal trait coverage. Personal traits, including "appearance, mannerisms, personality, and marital and parental status". In a bivariate analysis, women received more attention to personal traits, but the difference does not hold up in a multivariate analysis.</t>
  </si>
  <si>
    <t>7. Women more issue coverage, significant</t>
  </si>
  <si>
    <t>Position coverage. Women receive more 'position coverage', but the effect is conditional on candidate quality, measured by prior experience. With less political experience, women receive much more position coverage, while for very experienced candidates (incumbents), there is no gap.</t>
  </si>
  <si>
    <t>The authors also inspect attention to women's issues and action coverage. In a multivariate analysis, sex of the candidate had no effect on the occurrence of these coverage types, except for 'women's issues', which are (surprisingly) discussed more in men candidate coverage.</t>
  </si>
  <si>
    <t>Percent of coverage "we tracked" (p. 523)</t>
  </si>
  <si>
    <t>Overall, men received a total of 49.2 percent
of the coverage we tracked, and women received 50.8 percent</t>
  </si>
  <si>
    <t>Lavery (2013)</t>
  </si>
  <si>
    <t>Gender Bias in the Media? An Examination of Local Television News Coverage of Male and Female House Candidates</t>
  </si>
  <si>
    <t>Lavery, L. (2013). Gender bias in the media? An examination of local television news coverage of male and female House candidates. Politics &amp; Policy, 41(6), 877-910.</t>
  </si>
  <si>
    <t>House</t>
  </si>
  <si>
    <t>local TV news. "The data reported here are drawn from a content analysis of local
news stations conducted by the University of Wisconsin Newslab in
2002.19 The Newslab began a systematic study of the content and effectiveness
of local television news by recording and examining the highest rated, early
evening (4:30 p.m.-7:30 p.m.) and late evening (9:00 p.m.-11:30 p.m.) local
news broadcasts from 122 stations during the seven weeks prior to that year’s
midterm elections (September 18, 2002 through November 4, 2002). Stations
were randomly selected from a sampling of 200 stations—the four major news
affiliates in each of the country’s top 50 media markets (ABC, CBS, FOX, and
NBC). These markets encompass over two-thirds of television viewers in the
nation."</t>
  </si>
  <si>
    <t>Incumbency, party, media market. Interactions with gender: incumbency and party.</t>
  </si>
  <si>
    <t>TV story</t>
  </si>
  <si>
    <t>Stories</t>
  </si>
  <si>
    <t>Quantity of coverage duration in seconds</t>
  </si>
  <si>
    <t>"viability composite is a dichotomous variable that indicates whether this coverage focused on candidate strategy (does the story focus on the tactics of a candidate, party, or interest group, and talk more about the “game” or “style” of politics and elections than substance or issues?), political advertising (does the story analyze a candidate or interest group ad for the claims it makes or its use of imagery?), polling (is the story about a poll?), fund-raising (is the story about fund-raising?), and/or the horse race (was the story primarily concerned with which candidate is ahead or behind in a race?)." "Analysis suggests no significant difference in overall viability coverage of male and female House candidates, although a gender difference in ad watch coverage nears statistical significance, indicating that nonincumbent, Republican, female candidates receive greater coverage related to their political advertisements than their peers (Table 4)" Note, meaurement is at story level, not candidate level. Horse race is part of the composite measure of viability coverage (on which men and women score equal), but also inspected seperately, with the same result (equal).</t>
  </si>
  <si>
    <t>"Personal characteristics is a dichotomous variable that indicates whether or not a particular story focuses on a candidate’s childhood, family history, past substance abuse, or personality traits."</t>
  </si>
  <si>
    <t>"Personal characteristics is a dichotomous variable that indicates whether or not a particular story focuses on a candidate’s childhood, family history, past substance abuse, or personality traits." Coded and analyzed is also whether the story mentions a personal scandal. There are no significant gender differences in scandal coverage.</t>
  </si>
  <si>
    <t>"Issue coverage is a dichotomous variable designed to indicate whether or not the story concentrates on an issue such as terrorism, taxes, or education."</t>
  </si>
  <si>
    <t>"“male” issue indicator in this article combines coverage of foreign policy, defense, gun control, globalization, jobs, and taxes. The “female” issue composite includes coverage of childcare, education, the environment, health care, social security, women’s health, and women and politics." Women do receive slightly more "female"issue coverage, but this is not significant.</t>
  </si>
  <si>
    <t>Used here: Total duration in seconds of news coverage received by candidate during entire race (without controls). Also reported: regression with this dependent variable and control variables, giving same conclusion.</t>
  </si>
  <si>
    <t>Mean for men: 31.29309, sd 12.28216. Mean women: 31.31175, sd 16.16031.</t>
  </si>
  <si>
    <t>Based on regression table (table 3). Mean men is constant and mean female is constant + effect female</t>
  </si>
  <si>
    <t>constant = 38.619; effect female = -3.09</t>
  </si>
  <si>
    <t>Based on regression table, not descriptive means</t>
  </si>
  <si>
    <t>Meeks (2012)</t>
  </si>
  <si>
    <t>Is she man enough? Women candidates, executive political offices, and news coverage</t>
  </si>
  <si>
    <t>Journal of Communication</t>
  </si>
  <si>
    <t>Meeks, L. (2012). Is she “man enough”? Women candidates, executive political offices, and news coverage. Journal of Communication, 62(1), 175-193.</t>
  </si>
  <si>
    <t>Senate, republican primary, democratic primary, govenor, vice president</t>
  </si>
  <si>
    <t>1999, 2000, 2002, 2004, 2006, 2007, 2008</t>
  </si>
  <si>
    <t xml:space="preserve">Newspapers. </t>
  </si>
  <si>
    <t>The two largest circulation newspapers in the respective candidate’s state, both serving different, large metropolitan areas. "The eight newspapers were: the Charlotte Observer and News &amp; Observer for Dole; the St. Louis Post-Dispatch and Kansas City Star for McCaskill; the New York Daily News and Buffalo News for Clinton; and the Anchorage Daily News and Fairbanks Daily News-Miner for Palin." "First, I conducted a keyword search with the female and male candidates’ names during the time frames to retrieve news stories. I then systematically randomly sampled within this content to select approximately 30% of the articles."</t>
  </si>
  <si>
    <t>Executive/legislative office, some control for party by design</t>
  </si>
  <si>
    <t>Articles by candidate (percentage of articles)</t>
  </si>
  <si>
    <t>NA. Article does not explicitly address this, but given that women receive more feminine issue coverage and more masculine issue coverage, we can assume they received more issue coverage in general.</t>
  </si>
  <si>
    <t>3. Women more on male issues, women more on female issues, significant</t>
  </si>
  <si>
    <t>"Feminine issues contained any discussion of the candidate and the issues of education, health care, reproductive rights, and women’s issues, which included a range of related matters, for example, equal rights and equal pay. Masculine issues contained any discussion of the candidate and the issues of military/defense/war, crime, foreign affairs, and economy." Women receive 17.7% coverage on feminine issues and 31.3% on masculine issues; men receive 13.2% coverage on feminine issues and 27.9% on masculine issues. Women receive significantly more coverage on feminine issues than men (p&lt;.05), and almost significantly more coverage on masculine issues (p&lt;.10)</t>
  </si>
  <si>
    <t>3. Women more on male traits, women more on female traits, significant</t>
  </si>
  <si>
    <t>"Feminine traits contained any discussion of whether the candidate conveyed compassion, emotionality, honesty, congeniality, and altruism. Masculine traits contained any discussion of whether the candidate conveyed leadership, rationality, decisiveness, aggressiveness, and independence." Women receive 8.9% feminine trait coverage, men receive 6.2% feminine trait coverage. Women receive 15.9% masculine trait coverage, men receive 11.5% masculine trait coverage.</t>
  </si>
  <si>
    <t>Novelty framing "Novelty labeling included gender labels, which were explicit direct and indirect references such as ‘‘woman,’’ ‘‘man,’’ ‘‘mother,’’ or ‘‘husband,’’ and uniqueness labels, which were explicit references such as ‘‘ﬁrst,’’ ‘‘pioneer,’’ or ‘‘lone.’’". Women candidates receive more gender labels, and more uniqueness labels, both significant.</t>
  </si>
  <si>
    <t>The author also compares gender gaps over offices, expecting gaps to be bigger for higher offices (from senator, via governor to white house), and finds support for this expectation.</t>
  </si>
  <si>
    <t>Valenzuela and Correa (2009)</t>
  </si>
  <si>
    <t>Press coverage and public opinion on women candidates. The Case of Chile’s Michelle Bachelet</t>
  </si>
  <si>
    <t>The International Communication Gazette</t>
  </si>
  <si>
    <t>Valenzuela, S., &amp; Correa, T. (2009). Press coverage and public opinion on women candidates: The case of Chile's Michelle Bachelet. International Communication Gazette, 71(3), 203-223.</t>
  </si>
  <si>
    <t>Chile</t>
  </si>
  <si>
    <t>President</t>
  </si>
  <si>
    <t>Majority/Plurality TRS Two-Round System        Whole country: PR  List PR  1  120  120  TRS (Electoral System Family  | Electoral System for National Legislature | Number of tiers | Legislative size (directly elected) | Legislative size (Voting members) | Electoral system for the president | Source: www.idea.int) "The winning presidential candidate must earn an absolute majority of valid votes. If no candidate is able to achieve this, a second round is held between the two candidates who earned the most votes in the first round."</t>
  </si>
  <si>
    <t>2005, 2006</t>
  </si>
  <si>
    <t>Three prominent Chilean newspapers, El Mercurio, La Tercera and Las Últimas Noticias</t>
  </si>
  <si>
    <t>Gender of the reporter</t>
  </si>
  <si>
    <t>Michelle Bachelet</t>
  </si>
  <si>
    <t>"The unit of analysis was the individual article, including news stories, feature stories, interviews, editorials, opinion columns, letters to the editor and picture captions."</t>
  </si>
  <si>
    <t>Horse race coverage. Not tested for significance.</t>
  </si>
  <si>
    <t>5. Women considered more viable, unknown significance</t>
  </si>
  <si>
    <t>Substance of horse race coverage. The female candidate is overwhelmingly described as the likely winning candidate. Significance is not tested, though differences are large and very likely to be significant.</t>
  </si>
  <si>
    <t>Family/marital status. Pair-wise differences between the female candidate and the male candidates are significant in 2 out of 3 pairs.</t>
  </si>
  <si>
    <t>Appearance. Pair-wise differences between the female candidate and the male candidates are significant in 3 out of 3 pairs.</t>
  </si>
  <si>
    <t>The researchers also inspect mentions of the candidates' profession, household chores and economic status in coverage. The profession of the female candidate is covered about as often as that of the main male competitor; household chores are mentioned significantly more often compared to the coverage of all three male candidates; economic status is mentioned at an average rate for the female candidate.</t>
  </si>
  <si>
    <t>NA. The study does report the attention in coverage to 7 issues, these percentages can be added up. The female candidates total is 58% issue coverage, compared to 36%, 42% and 10% of the three male candidates.</t>
  </si>
  <si>
    <t>NA. The study does report attention to 7 issues, but not in terms of 'male' and 'female' stereotypes. The issues are: democracy/human rights; relationship with political parties; economic growth/business regulation; employment/labor protection; poverty/inequality; crime/corruption; and international issues.</t>
  </si>
  <si>
    <t>Note: results are equal or unclear. "Personal attributes, such as leadership and competency." Five attributes are distinguished, each with positive, negative and neutral tone: charisma/compassion; honesty; leadership; aggressiveness; and competency. The female candidate get most coverage on charisma/compassion, leadership and competency, her main male competitor receives more attention on honesty and aggresiveness. This was the amount of coverage on these traits; they are also split out by tone. Coverage of the female candidate's charisma/compassion is mostly positive, that of her competency mostly negative.</t>
  </si>
  <si>
    <t>Rausch, Rozell and Wilson (1999)</t>
  </si>
  <si>
    <t>Rausch et al. (1999)</t>
  </si>
  <si>
    <t>When Women Lose: A Study of Media Coverage of Two Gubernatorial Campaigns</t>
  </si>
  <si>
    <t>Rausch, J. D., Rozell, M. J., &amp; Wilson, H. L. (1999). When women lose: A study of media coverage of two gubernatorial campaigns. Women &amp; Politics, 20(4), 1-21.</t>
  </si>
  <si>
    <t>1993, 1996</t>
  </si>
  <si>
    <t>4-5 local newspapers per state."five Virginia newspapers and four West Virginia newspapers for the periods beginning September 1 of each election year and ending on election day. The newspapers
examined for this analysis were selected for a combination of their geographic distribution, circulation, influence, and presence within a newspaper chain."</t>
  </si>
  <si>
    <t>Only informally comparing with staning in polls and own campaign (p13: "Allen [m] ran a great campaign, and Terry [f] ran a miserable one, the most compelling reason for the different coverage they received").</t>
  </si>
  <si>
    <t>269; 356</t>
  </si>
  <si>
    <t>Newspaper articles per race</t>
  </si>
  <si>
    <t>Amount of press coverage. Of the two races, the researchers describe one as equal in visibility ("The amount of press coverage did not favor either candidate"), and one as the female candidate receiving more attention ("Pritt received more coverage than Underwood"). In the first race, the female candidate got 24.4% candidate-only articles and the male candidate 19.9%; in the second race the famel candidate got 31.2% and the male candidate 23.4%.</t>
  </si>
  <si>
    <t>Negative coverage, balanced coverage. Both female candidates received more negative coverage, though the researchers are unsure whether this can be attributed to their gender. Significance not reported</t>
  </si>
  <si>
    <t>NA. The authors do not discuss the amount of horse-race coverage (they do discuss the type), but the amount can be read from the tables. In Virginia, the female candidate was discussed in 125 horse-race articles, and the male candidate in 103 horse-race articles, in West Virginia the female candidate in 35, the male candidate in 31. Given the number of articles the individual candidates are discussed in (adding articles solely about the candidate to articles about both), the percentage of horse-race articles is 44% for the female and 38% for the male candidate in Virginia, and 17% for both candidates in West Virginia.</t>
  </si>
  <si>
    <t xml:space="preserve">Candidate favorability in horse-race stories and candidate favorability ratings in state press coverage. The women in both races receive more negative horse-race coverage and more negative favorability ratings in state press coverage. </t>
  </si>
  <si>
    <t>Percentage of articles solely about the candidate.</t>
  </si>
  <si>
    <t>Virginia m: 19.9%, f: 24.4%; West-Viginia m: 23.4, f:31.2</t>
  </si>
  <si>
    <t>Gingras (1995)</t>
  </si>
  <si>
    <t>Daily male delivery: Women and politics in the daily newspapers</t>
  </si>
  <si>
    <t>Chapter in book Gender and politics in contemporary Canada</t>
  </si>
  <si>
    <t>Gingras, F. P. (1995). Daily male delivery: Women and politics in the daily newspapers. Gender and politics in contemporary Canada, ed. Francois Pierre Gingras. Toronto: Oxford University Press</t>
  </si>
  <si>
    <t>Any (all political news)</t>
  </si>
  <si>
    <t>Newspapers: three daily newspapers</t>
  </si>
  <si>
    <r>
      <t>Three daily newspapers in the very politically aware National Capatial Region (the Citizen, Le Droit,</t>
    </r>
    <r>
      <rPr>
        <i/>
        <sz val="11"/>
        <color indexed="8"/>
        <rFont val="Calibri"/>
        <family val="2"/>
      </rPr>
      <t xml:space="preserve"> and the </t>
    </r>
    <r>
      <rPr>
        <sz val="11"/>
        <color theme="1"/>
        <rFont val="Calibri"/>
        <family val="2"/>
      </rPr>
      <t>Ottowa Sun</t>
    </r>
    <r>
      <rPr>
        <i/>
        <sz val="11"/>
        <color indexed="8"/>
        <rFont val="Calibri"/>
        <family val="2"/>
      </rPr>
      <t>) [..] about 50 consequtive issues of each. The sample consisted of all issues during nine consequtive weeks</t>
    </r>
  </si>
  <si>
    <t>Percentages of articles within the ' field'  politics (one in five fields coded)</t>
  </si>
  <si>
    <r>
      <t xml:space="preserve">Presence, share of articles, relative presence. "[Compared to the numbers of women in the political scene] the political articles of both the </t>
    </r>
    <r>
      <rPr>
        <i/>
        <sz val="11"/>
        <color indexed="8"/>
        <rFont val="Calibri"/>
        <family val="2"/>
      </rPr>
      <t>Citizen</t>
    </r>
    <r>
      <rPr>
        <sz val="11"/>
        <color theme="1"/>
        <rFont val="Calibri"/>
        <family val="2"/>
      </rPr>
      <t xml:space="preserve"> and the </t>
    </r>
    <r>
      <rPr>
        <i/>
        <sz val="11"/>
        <color indexed="8"/>
        <rFont val="Calibri"/>
        <family val="2"/>
      </rPr>
      <t>Ottowa Sun</t>
    </r>
    <r>
      <rPr>
        <sz val="11"/>
        <color theme="1"/>
        <rFont val="Calibri"/>
        <family val="2"/>
      </rPr>
      <t xml:space="preserve"> clearly underrepresent women, while </t>
    </r>
    <r>
      <rPr>
        <i/>
        <sz val="11"/>
        <color indexed="8"/>
        <rFont val="Calibri"/>
        <family val="2"/>
      </rPr>
      <t>Le Droit</t>
    </r>
    <r>
      <rPr>
        <sz val="11"/>
        <color theme="1"/>
        <rFont val="Calibri"/>
        <family val="2"/>
      </rPr>
      <t xml:space="preserve"> does so to a lesser degree."</t>
    </r>
  </si>
  <si>
    <t>NA. The chapter does inspect negativety in coverage of women in the field of politics, but not compared to men.</t>
  </si>
  <si>
    <t>2. Second author</t>
  </si>
  <si>
    <t>Miller (2001)</t>
  </si>
  <si>
    <t>Newspaper coverage and gender: An analysis of the 1996 Illinois state legislative house district races</t>
  </si>
  <si>
    <t>Miller, G. (2001). Newspaper coverage and gender: An analysis of the 1996 Illinois state legislative house district races. Women &amp; Politics, 22(3), 83-100.</t>
  </si>
  <si>
    <t>House (state level)</t>
  </si>
  <si>
    <t>All newspaper articles from the Illinois Press Association, including the dailies and weeklies on state level.</t>
  </si>
  <si>
    <t>no controls (in some cases means splitt out by incumbency status)</t>
  </si>
  <si>
    <t>No significant difference in the nr of paragraphs in which M/F candidates appear or in the average nr of paragraph per article. However, when incumbency status is taken into account: female candiates receive significantly less paragraph per article, but unclear whether it also affects total amount of paragraphs.</t>
  </si>
  <si>
    <t>Horse race: 'likely winner, likely winner but losing ground, compatative but gaining ground, competitive, compatitive but losing ground, noncompatitive but gaining ground, noncompatitive sure loser'.</t>
  </si>
  <si>
    <t>Marital status, spouse or children mentioned</t>
  </si>
  <si>
    <t>Backgrounds of candidates. Significant differences on prior appointative office (5% vs 3.1 %), but no difference on 3 other indicators: prior elective office, lack of qualifications, or other qualifications. In addition: the author tests whether the incumbency status is mentioned and shows that male incumbent candidates are significantly more often mentioned in combination with their incumbency status then female incumbent candidates.</t>
  </si>
  <si>
    <t xml:space="preserve">Author test differences in trait coverage, but based on tone. Female candidate receive significantly more positive trait mentions and significantly less negative trait mentions than male candidates.  </t>
  </si>
  <si>
    <t>No overall gender difference in amount of issue coverage.</t>
  </si>
  <si>
    <t>On male issues, there were no gender differences, but on 4 issues (of a total of 18 issues) females received more coverage. Issues are: seniors, health, abortion/religion and womens issues.</t>
  </si>
  <si>
    <t xml:space="preserve">Visibility was measured by the number of paragraphs in which the candidate was mentioned. Second measure is the amount of paragraphs per article, but this is not included in this META analysis. Author states that the unit of analysis is the state legislative race, then that 626 newspaper articles were collected (she doesn't mention based on what was selected,  I assume the names of the candidates), and then that there were 2086 observations (I assume paragraphs). I assume that the unit of analysis is thus paragraph by candidate, but I am not completely sure. </t>
  </si>
  <si>
    <t xml:space="preserve">There were no statistically significant differences in the overall amount of coverage for males and females. The (total?) number of paragraphs for females set was 282.11; for males, it was218.23'. </t>
  </si>
  <si>
    <t>Based on numbers in Table 2. Assuming that there are equal amounts of incumbents, challangers and contestants in open races (numbers are not provided), I calculated the d-score for each of these groups seperately and take the avarge over these 3 groups for the scores here. Incumbents: males 6.2, females 4.23, share 0.41, d-score -0.19. Challangers: males 3.94, females 4.43, share 0.53, d-score 0.06. Open races: males 6.34, females 5.02, share 0.44, d-score -0.12. Average: males 5.49 females 4.56, share 0.46, d-score -0.08</t>
  </si>
  <si>
    <t>Incumbents: males 6.2, females 4.23, share 0.41, d-score -0.19. Challangers: males 3.94, females 4.43, share 0.53, d-score 0.06. Open races: males 6.34, females 5.02, share 0.44, d-score -0.12. Average: males 5.49 females 4.56, share 0.46, d-score -0.08</t>
  </si>
  <si>
    <t>Serini, Powers and Johnson (1998)</t>
  </si>
  <si>
    <t>Serini et al. (1998)</t>
  </si>
  <si>
    <t>Of horse race and policy issues: A study of gender in coverage of a gubernatorial election by two major metropolitan newspapers</t>
  </si>
  <si>
    <t xml:space="preserve"> Journalism &amp; Mass Communication Quarterly</t>
  </si>
  <si>
    <t>Serini, S. A., Powers, A. A., &amp; Johnson, S. (1998). Of horse race and policy issues: A study of gender in coverage of a gubernatorial election by two major metropolitan newspapers. Journalism &amp; Mass Communication Quarterly, 75(1), 194-204.</t>
  </si>
  <si>
    <t>2 newspapers</t>
  </si>
  <si>
    <t>Chicago Sun Times and Chicago Tribune</t>
  </si>
  <si>
    <t>Dawn Clark Netsch</t>
  </si>
  <si>
    <t>169; 143</t>
  </si>
  <si>
    <t>Articles by candidate (meaning that an article can be coded for multiple candidates).</t>
  </si>
  <si>
    <t xml:space="preserve">There are some (significant) differences in horse race coverage 2 out of 6 comparison between the female and one of the male candidates), but authors do not think this is based on gender, but on the way the candidates campaigned. </t>
  </si>
  <si>
    <t xml:space="preserve">The authors interpret the results as if male candidates receive more issue coverage, but of the 6 male-female comparisons: 4 ndo not differ significantly, 1 significant difference shows that the female candidate received more issue coverage and 1 statistical significant difference states that the male candidate receives more issue coverage. </t>
  </si>
  <si>
    <t xml:space="preserve">There are 8 categories of issues. The only convincing difference is on the iddue of education: the female candidate receives significantly more coverage on this issue than both her male opponents. (not convincing differences: female more coverage on fiscal than 1 of the opponents, female less coverage on crime than 1 of the opponents, female less coverage on other issues than 1 of the opponents, on the issues health care, social services, jobs and candidate's records there are no differences found between any of the opponents). </t>
  </si>
  <si>
    <t>Wagner, Trimble, Sampert and Gerrits (2017)</t>
  </si>
  <si>
    <t>Wagner et al. (2017)</t>
  </si>
  <si>
    <t>Gender, Competitiveness, and Candidate Visibility in Newspaper Coverage of Canadian Party Leadership Contests</t>
  </si>
  <si>
    <t xml:space="preserve"> The International Journal of Press/Politics</t>
  </si>
  <si>
    <t>Wagner, A., Trimble, L., Sampert, S., &amp; Gerrits, B. (2017). Gender, Competitiveness, and Candidate Visibility in Newspaper Coverage of Canadian Party Leadership Contests. The International Journal of Press/Politics, 1940161217723150.</t>
  </si>
  <si>
    <t>National primary elections</t>
  </si>
  <si>
    <t>1975-2012</t>
  </si>
  <si>
    <t>Globe and Mail</t>
  </si>
  <si>
    <t>Executive position, years in federal office, length of leadership race, year story is published, campaign expenditures, novelty</t>
  </si>
  <si>
    <t>Article per candidate in race</t>
  </si>
  <si>
    <t>After controlling, female candidates are not less visible than their male colleagues. The study includes 6 types of visibility: named in story, named first in story, number of times named in story, number of words quoted, named in headline, featured in photograph. They only find a significant gender difference for featured in photograph (women more).</t>
  </si>
  <si>
    <t>Whether the candidate is named in the newsarticle (the authors use 6 different types of visibility, but for the META only included is whether the candidate was mentioned in the article). Reported: only the regression results</t>
  </si>
  <si>
    <t>Effect of gender on visibility is 0.167 (0.092) and not significant. -60.615 is the constant in the regression table (table 1)</t>
  </si>
  <si>
    <t>Niven (2005)</t>
  </si>
  <si>
    <t xml:space="preserve">Gender bias? Media coverage of women and men in Congress. </t>
  </si>
  <si>
    <t>Chapter in Gender and American politics. Women, men, and the political process</t>
  </si>
  <si>
    <t>Niven, D. (2005). Gender bias? Media coverage of women and men in Congress. In S. Tolleson-Rinehart &amp; J. Josephson (Eds.), Gender and American politics. Women, men, and the political process (Vol. 2, pp. 264–283). New York: Sharpe.</t>
  </si>
  <si>
    <t>House and Senate</t>
  </si>
  <si>
    <t>2001-2003</t>
  </si>
  <si>
    <t>For every member 10 newspaper articles were coded: 5 from from the 'major newspapers' database in Nexis and 5 from home state newspapers of the member that were available in the Nexis database</t>
  </si>
  <si>
    <t>No controls because there is no real analysis, only a table with descriptives. But coverage of female members is compared to coverage of male members that most closely resemble them in terms of political traits (party, ideology, and region)</t>
  </si>
  <si>
    <t>Ten newspaperarticles on each member were selected for analysis</t>
  </si>
  <si>
    <t>There are four categories for the descriptives: women/men and in-state newspapers/major newspapers</t>
  </si>
  <si>
    <t>Author doesn't measure amount, but measures only prominence. Thus, the amount of newspaperarticles in which members are mentioned that mention the member in the headline or first three paragraphs. Authors interpret as if female politicians are underrepresented in media coverage, although he doesn't test for statistical significance. When the dataset was constructed based on the infrmation in the paper, it showed that this difference in visibility was only significant at the 0.1 level (one-sided).</t>
  </si>
  <si>
    <t xml:space="preserve">General tone of coverage, significance is not calculated. Measured for each article whether the number of paragraphs that describe the member positively is larger than the number of paragraphs that describes him/her negatively (neutral also an option). </t>
  </si>
  <si>
    <t>5. Men more viability, unknown significance</t>
  </si>
  <si>
    <t xml:space="preserve">Measured by whether the article mentions: accomplishments, capability, personal contact with the president, whether member is an outsider and whether member is unfit for the job. </t>
  </si>
  <si>
    <t>Whether the members family life is mentioned in the article</t>
  </si>
  <si>
    <t>Whether the members age or any aspect of their appearance is mentioned in the article</t>
  </si>
  <si>
    <t>Whether the member's personality or personal traits are mentioned in the article</t>
  </si>
  <si>
    <t>Whether the member is described as working on any particular issue</t>
  </si>
  <si>
    <t>Male and female members are mostly described in connection to the same issues. 'The only issue that uniquely appears among women in the nvironment'.</t>
  </si>
  <si>
    <t xml:space="preserve">Women are thre times more likely to be characterized by their sex than men'. </t>
  </si>
  <si>
    <t>The author also inspects whether members are described as working on behalf of a particular group, whether the member is physically in Washington, whether the member is motivated by ideology or partisanship and whether he/she is portrayed as independently thinking.</t>
  </si>
  <si>
    <t>The author doesn't measure amount, but measures only prominence. Thus, the amount of newspaperarticles in which members are mentioned that mention the member in the headline or first three paragraphs</t>
  </si>
  <si>
    <t xml:space="preserve">Author distinguishes between in-state and major newspapers, for the meta analysis these are combined. Then, females are prominent in 259+106=365 out of 730 articles and males are prominent in 281+121=402 out of 730 articles. Thus: Female: 0.5 (thus half of the articles). Male: 0.55. </t>
  </si>
  <si>
    <t>O’Neill, Savigny and Cann (2016)</t>
  </si>
  <si>
    <t>O’Neill et al. (2016)</t>
  </si>
  <si>
    <t>Women politicians in the UK press: not seen and not heard?</t>
  </si>
  <si>
    <t>Feminist Media Studies</t>
  </si>
  <si>
    <t>O’Neill, D., Savigny, H., &amp; Cann, V. (2016). Women politicians in the UK press: not seen and not heard?. Feminist Media Studies, 16(2), 293-307.</t>
  </si>
  <si>
    <t>Plurality/Majority  FPTP  1  651  651  Not applicable (Electoral System Family  | Electoral System for National Legislature | Number of tiers | Legislative size (directly elected) | Legislative size (Voting members) | Electoral system for the president | Source: www.idea.int)</t>
  </si>
  <si>
    <t>1992, 2002, 2012</t>
  </si>
  <si>
    <t>7 Newspapers</t>
  </si>
  <si>
    <t>The Sun; Daily Mirror; Daily Express; Daily Mail; The Guardian; The Ties; The Daily Telegraph</t>
  </si>
  <si>
    <t xml:space="preserve">No controls because there is no real analysis, only a table with descriptives. </t>
  </si>
  <si>
    <t>Newspaper articles in which an MP was mentioned</t>
  </si>
  <si>
    <t>Unclear: it seems that articles are the coded unit, but then only 1 MP per article can be mentioned. They do not state how they deal with this, but is seems that the article is the coded unit.</t>
  </si>
  <si>
    <t>In 1992: Female MPs received 8.8% of the coverage, while 9.2% of the women in parliament is female. In 2002: Female MPs receive 16.6% of the coverage while 17.9% of the members of Parliament is female. In 2012: This is based on the interpretation of the authors, there is no significance test.</t>
  </si>
  <si>
    <t>Personal focus = personal aspects of their lives, or appearance or qualities. Just percentages, no significance test. in 1992: Female: 0% personal coverage, Males 3% personal coverage. In 2002:Female: 15.1% personal coverage, Male: 14.5% personal coverage. In 2012: Female: 9.3% personal coverage, Male: 5.3% personal coverage.</t>
  </si>
  <si>
    <t xml:space="preserve">15.2% of the quotes is from females, while women have on average over the 3 years 16.37% of the seats in parliament. </t>
  </si>
  <si>
    <t>Average number of articles per MP</t>
  </si>
  <si>
    <t>In 1992: Female MP's were mentioned in 8.8% of the articles (13 of the 147 articles, men in 134 articles), while their percentage in Parliament is 9.2%. House of Commons had in 1992 651 MPs, of which 60 were female and 591 were male. To calculate the mean scores, the number of articles was divided by the number of MPs. (for female: 13 articles / 60 MPs = 0.22). In 2002: Female MP's were mentioned in 16.6% of the articles (33 of the 199 articles, men in 166 articles), while their percentage in Parliament is 17.9%. House of Commons had in 2002 659 MPs, of which 118 were female and 541 were male. To calculate the mean scores, the number of articles was divided by the number of MPs. (for female: 33 articles / 118 MPs = 0.28). In 2012: Female MP's were mentioned in 16.3% of the articles (32 of the 196 articles, men in 170 articles), while their percentage in Parliament is 22%. House of Commons had in 2012 650 MPs, of which 143 were female and 507 were male. To calculate the mean scores, the number of articles was divided by the number of MPs. (for female: 32 articles / 143 MPs = 0.22). Thus the average for men = (0.23+0.31+0.34)/3 = 0.293. The average for women = (0.22+0.28+0.22)/3=0.24</t>
  </si>
  <si>
    <t>Hayes and Lawless (2015)</t>
  </si>
  <si>
    <r>
      <t xml:space="preserve">A non-gendered lens? Media, voters, and female candidates in contemporary congressional elections. </t>
    </r>
  </si>
  <si>
    <t>Perspective on Politics</t>
  </si>
  <si>
    <r>
      <t xml:space="preserve">Hayes, D., &amp; Lawless, J. L. (2015). A non-gendered lens? Media, voters, and female candidates in contemporary congressional elections. </t>
    </r>
    <r>
      <rPr>
        <i/>
        <sz val="11"/>
        <color indexed="8"/>
        <rFont val="Calibri"/>
        <family val="2"/>
      </rPr>
      <t>Perspectives on Politics</t>
    </r>
    <r>
      <rPr>
        <sz val="11"/>
        <color theme="1"/>
        <rFont val="Calibri"/>
        <family val="2"/>
      </rPr>
      <t xml:space="preserve">, </t>
    </r>
    <r>
      <rPr>
        <i/>
        <sz val="11"/>
        <color indexed="8"/>
        <rFont val="Calibri"/>
        <family val="2"/>
      </rPr>
      <t>13</t>
    </r>
    <r>
      <rPr>
        <sz val="11"/>
        <color theme="1"/>
        <rFont val="Calibri"/>
        <family val="2"/>
      </rPr>
      <t>(1), 95-118.</t>
    </r>
  </si>
  <si>
    <t>Newspapers, hundreds of local newspapers</t>
  </si>
  <si>
    <t>The largest circulating local newspaper in the district of the race, that was available through electronic databases or newspaper's online archives</t>
  </si>
  <si>
    <t>Controls for whether the opponent is female, whether the candidate is incumbent, whether the candidate is a democrat, and the competitiveness of the race</t>
  </si>
  <si>
    <t>They state that the coding unit is every single mention of a candidate in the newspaper article, but I cannot find the total N for this and this is also not the unit that is analysed</t>
  </si>
  <si>
    <t>The candidate</t>
  </si>
  <si>
    <t>The main effect of the gender of the candidate (after controling) is not significant (-0.304(1.148))</t>
  </si>
  <si>
    <t>The effect of the gender of the candidate on the amount of trait coverage is not significant (0.005(0.032))</t>
  </si>
  <si>
    <t>The effect of the candidate's sex on the amount of issue coverage is not significant (0.252(0.171))</t>
  </si>
  <si>
    <t xml:space="preserve">Male and female candidates are equally often discussed in terms of women's issues and in men's issues </t>
  </si>
  <si>
    <t>Male and female candidates are equally often and equal in tone discussed in media content in terms of their traits (competence, leadership, integrity and empathy)</t>
  </si>
  <si>
    <t>The effects of the candidate's sex on the references to the candidate's sex is not significant (0.032(0.023))</t>
  </si>
  <si>
    <t>Visibility is measured by the number of news stories per candidate</t>
  </si>
  <si>
    <t>The effect in the regression analysis is -0.304 and insignificant. 10.324 is the constant (men). The mean scores for male and female politicians are based on extra information provided by the authors. The authors write: 'in terms of means, the average number of stories in female candidates' races is 14.28. The average number of stories in male candidates' races is 14.42. That difference of means is not statistically significant, with a 95% p-value of 0.92'</t>
  </si>
  <si>
    <t>Based on extra information provided by authors</t>
  </si>
  <si>
    <t>Based on the regression results in Table 1</t>
  </si>
  <si>
    <t>Men is constant (=10.324) and female is effect female candidate (= 0.304)</t>
  </si>
  <si>
    <t>Fernandez-Garcia (2016)</t>
  </si>
  <si>
    <t>Framing gender and women politicians representation: print media coverage of spanish women ministers.</t>
  </si>
  <si>
    <t>Book</t>
  </si>
  <si>
    <t>Fernandez-Garcia, N. (2016). Framing gender and women politicians representation: print media coverage of spanish women ministers. CECS-Publicações/eBooks, 141-160.</t>
  </si>
  <si>
    <t>Spain</t>
  </si>
  <si>
    <t>Ministers</t>
  </si>
  <si>
    <t>PR  List PR  1  350  350  Not applicable (Electoral System Family  | Electoral System for National Legislature | Number of tiers | Legislative size (directly elected) | Legislative size (Voting members) | Electoral system for the president | Source: www.idea.int)</t>
  </si>
  <si>
    <t>4 newspapers</t>
  </si>
  <si>
    <t xml:space="preserve">El Pais, La Vanguardia, El Mundo and ABC. Daily newspapers with largest circulation and ideologically spread out. Coding 7 days each year: from the day before the appointment of the newly formed Cabinet, to the 5th day after. </t>
  </si>
  <si>
    <t>Prestige of the ministry</t>
  </si>
  <si>
    <t>Articles by candidate (meaning that an article can me coded for multiple candidates). Although the author states that the UoA is the article level, later on (s)he implies that it is article per candidate.</t>
  </si>
  <si>
    <t>Based on percentage of coverage. in 1996 and 2004, women receive (significantly) less coverage than men, while in 2011 the difference is not significant. Overall: women less coverage then men.</t>
  </si>
  <si>
    <t>2. Men more positive, mixed significance</t>
  </si>
  <si>
    <t>Tone of newspaper articles. Male ministers receive significantly more positive coverage in 1996 and 2004, while negative coverage is equal. In 2011, both positive and negative tone is equal.</t>
  </si>
  <si>
    <t>The author only mentions this, does not present any data to substantiate this claim and does not mention whether the difference is significant.</t>
  </si>
  <si>
    <t>The author states: 'Data reveal a higher percentage of mentions of the professional background, qualifications or experience of male members, although the situation is more balenced in 2004 and 1996 cabinet. In fact, there is a statistically significant difference between men and women cabinet members of the 2011 conservative covernment (...)'. From this, we conclude that the difference in 1996 and 2004 is not significant.</t>
  </si>
  <si>
    <t>2. Women more trait coverage, mixed significance</t>
  </si>
  <si>
    <t>The author states that there are no significant differences for positive trait coverage and shows the negative trait coverage in a table and tests significance.</t>
  </si>
  <si>
    <t>2. Women quoted less often, mixed significance</t>
  </si>
  <si>
    <t>Women in high- and medium-prestige ministries are not significantly quoted less often then their male colleagues, but women in low-prestige ministeries are significantly less often quoted.</t>
  </si>
  <si>
    <t>In addition: male ministers are associated with job related characteristics, character traits and charisma traits, while female ministers are only associated with job related and character traits. Also: The authors coded references to a (M/F) mentor</t>
  </si>
  <si>
    <t xml:space="preserve">Visibility is measured by the amount of articles that mention a cabinet minister in the story. </t>
  </si>
  <si>
    <t>To calculate the average number of  articles per M/F minister, we multiplied the proportion of coverage with the N, and divided this by the number of M/F cabinet ministers. EG: in 1996: 0.231 x 684 / 4 (women in cabinet) = 39.5 art per female minister, while 0.769 x 684 / 10 = 52.6 art per male minister. In 2004: 0.352 x 586 / 8 (women in cabinet) = 25.78 art per female minister, while 0.648 x 586 / 8 = 47.47 art per male minister. In 2011: 0.345 x 699 / 4 (women in cabinet) = 60.29 art per female minister, while 0.655 x 699 / 9 = 50.87 art per male minister. The overall score for women is (39.5+25.78+60.29)/3 = 41.86; for men is (52.6+47.47+50.87)/3=50.31</t>
  </si>
  <si>
    <t>Visibility is measured by the amount of articles that mention a cabinet minister in the story. The results are based on the 3 years together.</t>
  </si>
  <si>
    <t>3 years combined, weigthed by the N (see table 2 in paper). Thus: visibility female = (0.3474*39.5)+(0.2976*25.78) + (0.3550*60.29) = 42.79.  visibility male = (0.3474*52.60)+(0.2976*47.47) + (0.3550*50.87) = 50.46</t>
  </si>
  <si>
    <t>NOTE: do not include this observation and the 3 seperate years in the same analysis</t>
  </si>
  <si>
    <t>Aaldering and Van der Pas (2018)</t>
  </si>
  <si>
    <t>Political Leadership in the Media: Gender Bias in Leader Stereotypes during Campaign and Routine Times.</t>
  </si>
  <si>
    <t>British Journal of Political Science</t>
  </si>
  <si>
    <r>
      <t xml:space="preserve">Aaldering, L., &amp; Van Der Pas, D. J. (2018). Political Leadership in the Media: Gender Bias in Leader Stereotypes during Campaign and Routine Times. </t>
    </r>
    <r>
      <rPr>
        <i/>
        <sz val="11"/>
        <color indexed="8"/>
        <rFont val="Calibri"/>
        <family val="2"/>
      </rPr>
      <t>British Journal of Political Science</t>
    </r>
    <r>
      <rPr>
        <sz val="11"/>
        <color theme="1"/>
        <rFont val="Calibri"/>
        <family val="2"/>
      </rPr>
      <t>, 1-21.</t>
    </r>
  </si>
  <si>
    <t>Netherlands</t>
  </si>
  <si>
    <t>PR  List PR  1  150  150  Not applicable (Electoral System Family  | Electoral System for National Legislature | Number of tiers | Legislative size (directly elected) | Legislative size (Voting members) | Electoral system for the president | Source: www.idea.int)</t>
  </si>
  <si>
    <t>2006-2012</t>
  </si>
  <si>
    <t>All national daily newspapers</t>
  </si>
  <si>
    <t>Party size, double function, and Jackknifed</t>
  </si>
  <si>
    <t>Articles by party leaders</t>
  </si>
  <si>
    <t>Weekly data in the published paper: the percentage trait coverage of visibility in the media, per week for each party leader. (Visibility data is from previous version and is based on monthly data).</t>
  </si>
  <si>
    <t>Based on monthly data and not in final (published) version of the paper, but in previous version. Measurement: the predicted number of newspaper articles referring to the politician by month, after controlling. 'Male party leaders are predicted to occur in 273.61 newspaper articles per month, while their female counterparts are mentioned in 259.39 articles, a difference that does not reach statistical significance.'</t>
  </si>
  <si>
    <t>NA. Male party leaders receive more trait coverage on political craftsmanship, vigorousness and communicative skills (not on integrity and consistency).</t>
  </si>
  <si>
    <t>Male party leaders are more often discussed in terms of their political craftsmanship, vigorousness and communicative skills</t>
  </si>
  <si>
    <t>Also: we tested whether campaign has an impact on trait coverage: no significant effect</t>
  </si>
  <si>
    <t xml:space="preserve">Visibility is measured by the predicted number of newspaper articles referring to the politician by month, after controlling for the relevant confounding features </t>
  </si>
  <si>
    <t>Male party leaders are predicted to occur in 273.61 newspaper articles per month, while their female counterparts are mentioned in 259.39 articles, a difference that does not reach statistical significance. Based on extra information provided by authors.</t>
  </si>
  <si>
    <t>Based on previous (not published) version of the paper, presented at conference</t>
  </si>
  <si>
    <t>Budget and experience, and Jackknifed</t>
  </si>
  <si>
    <t>Articles by ministers</t>
  </si>
  <si>
    <t>Weekly data in the published version of the paper: the percentage trait coverage of visibility in the media, per week for each minister. (Visibility data is from previous version and is based on monthly data).</t>
  </si>
  <si>
    <t xml:space="preserve">Based on monthly data and not in final (published) version of the paper, but in previous version. Measurement: the predicted number of newspaper articles referring to the politician by month, after controlling. 'we do find an effect for ministers. Male ministers are visible in 181.78 newspapers a month, on average, while female ministers are mentioned in 169.20, which is significantly less (p&gt;0.05).' </t>
  </si>
  <si>
    <t>NA. Male ministers receive more trait coverage on vigorousness and  integrity ( not on political craftsmanship, communicative skills and consistency).</t>
  </si>
  <si>
    <t>Male ministers are more often discussed in terms of their vigorousness and integrity</t>
  </si>
  <si>
    <t>Male ministers are visible in 181.78 newspapers a month, on average, while female ministers are mentioned in 169.20, which is significantly less (p&gt;0.05). Thus, male cabinet ministers are systematically more visible in newspapers than their female colleagues are.</t>
  </si>
  <si>
    <t>Hinojosa (2010)</t>
  </si>
  <si>
    <t>She’s Not My Type of blonde’: Media Coverage of Irena Sáez’s Presidential Bid.”</t>
  </si>
  <si>
    <t>Chapter in book Cracking the Highest Glass Ceiling: A Global Comparison of Women’s Campaigns for Executive Office</t>
  </si>
  <si>
    <t>Hinojosa, Magda. 2010. "She’s Not My Type of blonde’: Media Coverage of Irena Sáez’s Presidential Bid.” In Cracking the Highest Glass Ceiling: A Global Comparison of Women’s Campaigns for Executive Office, edited by Rainbow Murray and Pippa Norris. Boulder, CO: Praeger. 31-48.</t>
  </si>
  <si>
    <t>Venezuela</t>
  </si>
  <si>
    <t>Mixed MMP 3 207 207 FPTP (Electoral System Family  | Electoral System for National Legislature | Number of tiers | Legislative size (directly elected) | Legislative size (Voting members) | Electoral system for the president | Source: www.idea.int)</t>
  </si>
  <si>
    <t>1 National newspaper</t>
  </si>
  <si>
    <t>El Universal</t>
  </si>
  <si>
    <t>Irene Saez</t>
  </si>
  <si>
    <t>Paragraphs per candidate</t>
  </si>
  <si>
    <t>Paragraphs by candidate. The total for the analysed unit is not presented but calculated by us, by summing all paragraphs from table 2.1. However, it is unclear of each paragraph can be devoted to one candidate or that it is paragraph by candidate. Also, the total number of newspaper articles is unclear.</t>
  </si>
  <si>
    <t xml:space="preserve">The male candidates received on average 2915 paragraps of coverage, while the female candidate received 3072 paragraphs. </t>
  </si>
  <si>
    <t>Horse race measured by mention of poll results</t>
  </si>
  <si>
    <t>Whether the candidate was mentioned in relation to an issue</t>
  </si>
  <si>
    <t>Visibility is measured by the total amount of paragraphs in the newspaper on the candidates</t>
  </si>
  <si>
    <t>The 2 male candidates received on average 2915 paragraphs and the female candidate received 3072 paragraphs (numbers based on the summed numbers of paragraphs presented in table 2.1).</t>
  </si>
  <si>
    <t>Sampert and Trimble (2003)</t>
  </si>
  <si>
    <t>’Wham, bam, no thank you ma’am’: Gender and the game frame in national newspaper coverage of election 2000</t>
  </si>
  <si>
    <t xml:space="preserve"> Women and electoral politics in Canada</t>
  </si>
  <si>
    <r>
      <t xml:space="preserve">Sampert, S., &amp; Trimble, L. (2003). ’Wham, bam, no thank you ma’am’: Gender and the game frame in national newspaper coverage of election 2000.', in: </t>
    </r>
    <r>
      <rPr>
        <i/>
        <sz val="11"/>
        <color indexed="8"/>
        <rFont val="Calibri"/>
        <family val="2"/>
      </rPr>
      <t>Women and electoral politics in Canada</t>
    </r>
    <r>
      <rPr>
        <sz val="11"/>
        <color theme="1"/>
        <rFont val="Calibri"/>
        <family val="2"/>
      </rPr>
      <t>, ed. Manon Tremblay and Linda Trimble.Toronto: Oxford University Press.</t>
    </r>
  </si>
  <si>
    <t>2 English National newspapers</t>
  </si>
  <si>
    <t>Globe and Mail, and National Post</t>
  </si>
  <si>
    <t>Alexa McDonough</t>
  </si>
  <si>
    <t>Headlines of newspaper articles</t>
  </si>
  <si>
    <t>headlines of articles by candidate</t>
  </si>
  <si>
    <t>The female candidate received 9.35 % of the coverage (8.8+9.9/2) while the closest male compatitor (who has less seats in parliament) receives 13.2 %.</t>
  </si>
  <si>
    <t>Horse race measured by game framing</t>
  </si>
  <si>
    <t xml:space="preserve">measured by issue frames (?). Very strange: issue frame and game frame was a zero-sum: every headline could be or issue frame or game frame. </t>
  </si>
  <si>
    <t>Visibility is measured by the mention of the candidate in the headline</t>
  </si>
  <si>
    <t>The female candidate received 9.35 % of the coverage (8.8+9.9/2) while the closest male competitor (who has less seats in parliament) receives 13.2 % (12.2+14.2/2).</t>
  </si>
  <si>
    <t xml:space="preserve">Bystrom (2005) </t>
  </si>
  <si>
    <t>Media content and candidate viability: The case of Elizabeth Dole</t>
  </si>
  <si>
    <t>Chapter in book Communicating politics: Engaging the public in democratic life</t>
  </si>
  <si>
    <t>Bystrom (2005) Media content and candidate viability: The case of Elizabeth Dole. In M. S. McKinney, D. G. Bystrom, L. L. Kaid, &amp; D. B. Carlin (Eds.), Communicating politics: Engaging the public in democratic life. New York: Peter Lang.</t>
  </si>
  <si>
    <t>3 largest state newspapers in Iowa</t>
  </si>
  <si>
    <t>The Des Moines Register, The Cedar Rapids Gazette, The Sioux City Journal</t>
  </si>
  <si>
    <t xml:space="preserve">No controls. </t>
  </si>
  <si>
    <t>newspaper articles per candidate</t>
  </si>
  <si>
    <t>Dole received less coverage (30%) than her two oppenents (44 and 86%), difference is significant.</t>
  </si>
  <si>
    <t xml:space="preserve">Dole received less appearance coverage than Bush, but little more than Forbes. Significance not tested. (This is interpretation of author, page 130). </t>
  </si>
  <si>
    <t xml:space="preserve">Background coverage in this case is coverage on scandals. Dole less than both Bush and Forbes. </t>
  </si>
  <si>
    <t>5. Men more trait coverage, unknown significance</t>
  </si>
  <si>
    <t>Trait amount in this case is personality coverage. Dole received less than Bush and Forbes.</t>
  </si>
  <si>
    <t>Dole received less (18%) issue coverage than Bush (55%) and Forbes (27%)</t>
  </si>
  <si>
    <t>Dole (8%) was quoted directly less often than Bush (19%) and than Forbes (10%). Only the difference with Bush is significant.</t>
  </si>
  <si>
    <t>Visibility is measured by the number of newspaper articles in which the candidate was mentioned</t>
  </si>
  <si>
    <t>Dole was mentioned in 130 (30%) of the stories, compared to Bush in 368 (86%) and Forbes 189 (44%). For the male mean, we take the average of Bush and Forbus, thus: 65%.</t>
  </si>
  <si>
    <t>Bystrom, Brown and Fiddelke (2012)</t>
  </si>
  <si>
    <t>Bystrom et al. (2012)</t>
  </si>
  <si>
    <t>Barriers bent but not broken: Newspaper coverage of local and state elections</t>
  </si>
  <si>
    <t>Chapter in book Women and executive office: Pathways and performance</t>
  </si>
  <si>
    <t>Bystrom, D.g., Brown, N., &amp; Fiddelke, M. (2012). Barriers bent but not broken: Newspaper coverage of local and state elections. Women and executive office: Pathways and performance, 159-179.</t>
  </si>
  <si>
    <t>local city newspaper</t>
  </si>
  <si>
    <t>In the analyses, the author focus on the news stories that focus on a single candidate, thus then the unit is newspaper article</t>
  </si>
  <si>
    <t>Newspaper article by candidate</t>
  </si>
  <si>
    <t>42.86 focused on female candidates and 57.14 focused on male candidates</t>
  </si>
  <si>
    <t xml:space="preserve">Trait amount measured by personality coverage. The authors state that 'it was significantly more likely to mention both candidates when discussing their personalities or issue emphasis than just the female or male contender' (page 171). Therefore, I assume that the difference in trait coverage only for male or female contenders (resp. 14 and 15%) is not statistically significant. </t>
  </si>
  <si>
    <t>No differences in coverage on budget, industries education, taxes, city growth, gay marriage etc</t>
  </si>
  <si>
    <t>Also: frames: female candidates were more ofted discussed in the strategy and issue frame and male candidates more often in the candidate frame. However, gender differences are not signifiant. (unclear what these frames exactly entail and not enough to include strategy frame with viability).</t>
  </si>
  <si>
    <t>Male mayoral candidates in 57.14% and female mayoral candidates in 42.86%</t>
  </si>
  <si>
    <t>largest newspaper per state</t>
  </si>
  <si>
    <t>32.81 percent focused on female candidates and 67.19 focused on male candidates</t>
  </si>
  <si>
    <t xml:space="preserve">Trait amount measured by personality coverage. The authors state that 'it was significantly more likely to mention both candidates when discussing their personalities or issue emphasis than just the female or male contender' (page 171). Therefore, I assume that the difference in trait coverage only for male or female contenders (resp. 16 and 14%) is not statistically significant. </t>
  </si>
  <si>
    <t>Men more on budget and crime/violence, females more on education</t>
  </si>
  <si>
    <t>Male gubernatorial candidates in 67.19% and female candidates in 32.81%</t>
  </si>
  <si>
    <t>Falk and Jamieson (2003)</t>
  </si>
  <si>
    <t>Changing the Climate of Expectations</t>
  </si>
  <si>
    <t>Chapter in book Anticipating Madam President</t>
  </si>
  <si>
    <r>
      <t xml:space="preserve">Falk, E. &amp; Jamieson, K.H. (2003). Changing the Climate of Expectations. In </t>
    </r>
    <r>
      <rPr>
        <i/>
        <sz val="11"/>
        <color indexed="56"/>
        <rFont val="Calibri"/>
        <family val="2"/>
      </rPr>
      <t>Anticipating Madam President</t>
    </r>
    <r>
      <rPr>
        <sz val="11"/>
        <color indexed="56"/>
        <rFont val="Calibri"/>
        <family val="2"/>
      </rPr>
      <t>, edited by Robert P. Watson and Ann Gordon, 43–52. Boulder, CO: Lynne Rienner Publishers.</t>
    </r>
  </si>
  <si>
    <t>Primary</t>
  </si>
  <si>
    <t xml:space="preserve">Plurality/Majority  FPTP  1  435  435  FPTP (Electoral System Family  | Electoral System for National Legislature | Number of tiers | Legislative size (directly elected) | Legislative size (Voting members) | Electoral system for the president | Source: www.idea.int ), based on data of 1992 to 2016 (no changes in this time period), because dataset doesn't go back to the 1960's. </t>
  </si>
  <si>
    <t>Very unclear. They state that they study the 'press coverage' of the candidates. Then they state that they examined 3 newspapers from 1964 (page 48). No more information is given.</t>
  </si>
  <si>
    <t>Chase Smith</t>
  </si>
  <si>
    <t>Number of articles per newspaper per month</t>
  </si>
  <si>
    <t>On average, Chase Smith had 7.5 articles per newspaper per month, whereas Nelson Rockefeller (…) had on average 25 articles per newspaper per month (page 48)</t>
  </si>
  <si>
    <t>Female candidate more often described as running for vice=presidential candidate instead of presidential candidate and female candidate often described as first female candidate.</t>
  </si>
  <si>
    <t>Only 8.6% of paragraphs in articles about Chase Smith where about issues, compared with 25% of articles about Rockefeller (page 48)</t>
  </si>
  <si>
    <t>Also: Titles: female candidate more often referred to as Mrs. Instead of title, than male candidate</t>
  </si>
  <si>
    <t>Visibility is measured by the average number of articles per newspaper per month</t>
  </si>
  <si>
    <t>Male candidate: 25 articles per newspaper per month, female candidate: 7.5 newspaper articles per newspaper per month</t>
  </si>
  <si>
    <t>Lawrence and Rose (2010)</t>
  </si>
  <si>
    <t xml:space="preserve">Hillary Clinton's race for the White House: Gender politics and the media on the campaign trail. </t>
  </si>
  <si>
    <t>3. Book</t>
  </si>
  <si>
    <t>Lawrence, R. G., &amp; Rose, M. (2010). Hillary Clinton's race for the White House: Gender politics and the media on the campaign trail. Boulder, CO: Lynne Rienner Publishers.</t>
  </si>
  <si>
    <t>Newspapers and TV news shows</t>
  </si>
  <si>
    <t>Los Angeles Times, New York Times and Washington Post</t>
  </si>
  <si>
    <t>News stories (newspaper and television)</t>
  </si>
  <si>
    <t>News story by candidate</t>
  </si>
  <si>
    <t>Average number of paragraphs mentioning candidate per story: Clinton 6.88; Obama 6.97 and McCain 3.89</t>
  </si>
  <si>
    <t>Both the percentage of stories with at least one negative comment and the average number of paragraphs per story with negative comments are disadvantageous for women: Clinton is significantly worse of in both cases than both Obama and McCain</t>
  </si>
  <si>
    <t>All three candidates very high (and statistically not different from each other\0 numbers of horse race framing of the news story (resp. 89.4, 88.9, 81.2)</t>
  </si>
  <si>
    <t>Significantly more negative comments about Clinton's viability than for Obama and McCain (resp 0.15 vs 0.07 and 0.08)</t>
  </si>
  <si>
    <t xml:space="preserve">Spouse more often mentioned for clinton vs both Obama and McCain, children more often mentioned for Clinton vs McCain. </t>
  </si>
  <si>
    <t>Clinton's appearance more often discussed than McCain's, but equal to Obama</t>
  </si>
  <si>
    <t>Clinton's background more often discussed than both Obama and McCain, although difference is not significant</t>
  </si>
  <si>
    <t>Issues for all candidates very little discussed, no significant differences</t>
  </si>
  <si>
    <t>Clinton less often quoted than both male candidates</t>
  </si>
  <si>
    <t>Also: titles and first names: Clinton more often reffered to with her title than both male candidates, but also Clinton more ofted called by her first name than both male candidates.</t>
  </si>
  <si>
    <t>Visibility is measured by the average number of paragraphs mentioning candidate per story</t>
  </si>
  <si>
    <t>Average number of paragraphs mentioning candidate per story: Clinton 6.88; Obama 6.97 and McCain 3.89. For male candidates: average of Obama and McCain = 5.43</t>
  </si>
  <si>
    <t>Bystrom and Dimitrova (2014)</t>
  </si>
  <si>
    <t>Migraines, Marriage, and Mascara: Media Coverage of Michele Bachmann in the 2012 Republican Presidential Campaign</t>
  </si>
  <si>
    <r>
      <t xml:space="preserve">Bystrom, D., &amp; Dimitrova, D. V. (2014). Migraines, Marriage, and Mascara: Media Coverage of Michele Bachmann in the 2012 Republican Presidential Campaign. </t>
    </r>
    <r>
      <rPr>
        <i/>
        <sz val="11"/>
        <color indexed="56"/>
        <rFont val="Calibri"/>
        <family val="2"/>
      </rPr>
      <t>American Behavioral Scientist</t>
    </r>
    <r>
      <rPr>
        <sz val="11"/>
        <color indexed="56"/>
        <rFont val="Calibri"/>
        <family val="2"/>
      </rPr>
      <t>, 58 (9), 1169-1182.</t>
    </r>
  </si>
  <si>
    <t>2011-2012</t>
  </si>
  <si>
    <t>network and cable television news programs</t>
  </si>
  <si>
    <t>Michelle Bachmann</t>
  </si>
  <si>
    <t>News shows that mention at least one of the 7 contenders a minimum of five times to ensure that the candidates were more than accidental references (page 1175)</t>
  </si>
  <si>
    <t>Number of TV shows that mention the candidate</t>
  </si>
  <si>
    <t xml:space="preserve">Bachmann was mentioned in 56% of the news stories, but her male contenders resp. 87%, 74% and 58%. </t>
  </si>
  <si>
    <t>female candidate less negative, but significance unclear and interpreted by authors as no differences</t>
  </si>
  <si>
    <t>female candidate little more often questioned on viability than male candidate, although not statistically significant</t>
  </si>
  <si>
    <t>no differences, according to author</t>
  </si>
  <si>
    <t>Only issue stereotypes tested, but authors conclude based on this that Romney received more issue coverage than Bachmann</t>
  </si>
  <si>
    <t>2. Men more on male issues, men more on female issues, significant</t>
  </si>
  <si>
    <t>Romney both on male and female issues more coverage than Bachmann</t>
  </si>
  <si>
    <t>Female candidate quoted in 19%, male candidates in resp. 34%, 31% and 29%</t>
  </si>
  <si>
    <t>Visibility is measured by the percentage of news stories that mention the candidate</t>
  </si>
  <si>
    <t>Bachmann (female) mentioned in 56%, for male we take the average of the 3 candidates mentioned. Thus: 87+74+58/3 = 73%</t>
  </si>
  <si>
    <t>Falk (2012)</t>
  </si>
  <si>
    <t xml:space="preserve"> Mich. St. L. Rev</t>
  </si>
  <si>
    <r>
      <t xml:space="preserve">Falk, E. (2012). Unnatural, Incompetent, and Unviable: Press Portrayals of Women Candidates for President. </t>
    </r>
    <r>
      <rPr>
        <i/>
        <sz val="11"/>
        <color indexed="8"/>
        <rFont val="Calibri"/>
        <family val="2"/>
      </rPr>
      <t>Mich. St. L. Rev.</t>
    </r>
    <r>
      <rPr>
        <sz val="11"/>
        <color theme="1"/>
        <rFont val="Calibri"/>
        <family val="2"/>
      </rPr>
      <t>, 1671.</t>
    </r>
  </si>
  <si>
    <t>1872-2008</t>
  </si>
  <si>
    <t>New York Times and largest circulating newspaper in home state of each candidate</t>
  </si>
  <si>
    <t>Articles that mentioned the candidates</t>
  </si>
  <si>
    <t>On average, the men had about twice as many articles written about them (96% more) and the articles were 12% longer', page 1674</t>
  </si>
  <si>
    <t>On average, the men had more than 3 times as many positive viability comments as the women (3.2 mentions compared with 0.8 per 10.000 words), page 1676</t>
  </si>
  <si>
    <t>The press described women by how they looked in 38% of the articles about them. The press described men physically in just 1% of articles. Page 1675</t>
  </si>
  <si>
    <t>15% or the paragraphs about women were predominantly about issues, while 25% of the paragraphs about men were.' Page 1674.</t>
  </si>
  <si>
    <t>9. Men more on male traits, women more on female traits, unknown significance</t>
  </si>
  <si>
    <t>Only tested for feminine traits (emotionality). Thus 'women were described as emotional thirteen times for every 100 articles that mention them, while men were described as emotional just eight times for every 100 articles', page 1678. Masculine traits not included.</t>
  </si>
  <si>
    <t xml:space="preserve">Also: Titles: female candidates less often reffered to with their title than male candidates. Also: explecit arguments against women candidates. </t>
  </si>
  <si>
    <t>Visibility is measured by the number of stories on candidates</t>
  </si>
  <si>
    <t>in press</t>
  </si>
  <si>
    <t>Falk (2019)</t>
  </si>
  <si>
    <t>Chapter in book Journalism, Gender and Power.</t>
  </si>
  <si>
    <t>Falk, E. (2019). When women run for office: Press coverage of Hillary Clinton during the 2016 presidential campaign. In C. Carter, L. Steiner and S. Allan (Eds.), Journalism, Gender and Power. New York, NY: Routledge</t>
  </si>
  <si>
    <t>US newspapers in LexisNexis database</t>
  </si>
  <si>
    <t>Automated content analysis, in which she searched the Lexis Nexis database for newspaperarticles on Trump and Clinton</t>
  </si>
  <si>
    <t>In LexisNexis database, more stories that headlined with Trump (15.500) than that headlined with Clinton (6000). Time frame and specific newspapers is unknown.</t>
  </si>
  <si>
    <t>Search sting 'Trump/Clinton wore …' more hits for Clinton (25) than for Trump (6) in LexisNexis database on US newspapers.</t>
  </si>
  <si>
    <t>Search string 'Trump/Clinton'in same sentence as 'women/man candidate' or  'female/male candidate'. Trump got 1 hit, while there were 89 descriptions of Clinton's gender.</t>
  </si>
  <si>
    <t>Also: Novelty frame</t>
  </si>
  <si>
    <t>Visibility is measured by the number of newsstories that headlined with the candidate</t>
  </si>
  <si>
    <t>Foster Shoaf and Parsons (2016)</t>
  </si>
  <si>
    <t>18 Million Cracks, but No Cigar: News Media and the Campaigns of Clinton, Palin, and Bachmann</t>
  </si>
  <si>
    <t>Social Sciences</t>
  </si>
  <si>
    <r>
      <t>Foster Shoaf, N. R., &amp; Parsons, T. N. (2016). 18 Million Cracks, but No Cigar: News Media and the Campaigns of Clinton, Palin, and Bachmann. </t>
    </r>
    <r>
      <rPr>
        <i/>
        <sz val="8"/>
        <color indexed="56"/>
        <rFont val="Arial"/>
        <family val="2"/>
      </rPr>
      <t>Social Sciences</t>
    </r>
    <r>
      <rPr>
        <sz val="8"/>
        <color indexed="56"/>
        <rFont val="Arial"/>
        <family val="2"/>
      </rPr>
      <t>, </t>
    </r>
    <r>
      <rPr>
        <i/>
        <sz val="8"/>
        <color indexed="56"/>
        <rFont val="Arial"/>
        <family val="2"/>
      </rPr>
      <t>5</t>
    </r>
    <r>
      <rPr>
        <sz val="8"/>
        <color indexed="56"/>
        <rFont val="Arial"/>
        <family val="2"/>
      </rPr>
      <t>(3), 50.</t>
    </r>
  </si>
  <si>
    <t>2007-2012</t>
  </si>
  <si>
    <t>USA Today; New York Times; Chicago Sun; Dallas Morning News; San Jose Mercury</t>
  </si>
  <si>
    <t>Female candidates receive in 88% of the coverage mentions of family, compared to 12% for male candidates</t>
  </si>
  <si>
    <t>Female candidates receive 65% coverage with H3 mentions (hair, husband and hemline, but interpret not as familiy which is a seperate category, but as mentions of appearance), compared to 32% for male candidates</t>
  </si>
  <si>
    <t>Also: testing for differences between the different types of outlets</t>
  </si>
  <si>
    <t>Uscinski and Goren (2011)</t>
  </si>
  <si>
    <t>What’s in a name? Coverage of Senator Hillary Clinton during the 2008 Democratic Primary.</t>
  </si>
  <si>
    <r>
      <t xml:space="preserve">Uscinski, J. E., &amp; Goren, L. J. (2011). What’s in a name? Coverage of Senator Hillary Clinton during the 2008 Democratic Primary. </t>
    </r>
    <r>
      <rPr>
        <i/>
        <sz val="11"/>
        <color indexed="8"/>
        <rFont val="Calibri"/>
        <family val="2"/>
      </rPr>
      <t>Political Research Quarterly</t>
    </r>
    <r>
      <rPr>
        <sz val="11"/>
        <color theme="1"/>
        <rFont val="Calibri"/>
        <family val="2"/>
      </rPr>
      <t xml:space="preserve">, </t>
    </r>
    <r>
      <rPr>
        <i/>
        <sz val="11"/>
        <color indexed="8"/>
        <rFont val="Calibri"/>
        <family val="2"/>
      </rPr>
      <t>64</t>
    </r>
    <r>
      <rPr>
        <sz val="11"/>
        <color theme="1"/>
        <rFont val="Calibri"/>
        <family val="2"/>
      </rPr>
      <t>(4), 884-896.</t>
    </r>
  </si>
  <si>
    <t>2007-2008</t>
  </si>
  <si>
    <t>News shows that mention at least once Clinton or Obama</t>
  </si>
  <si>
    <t>Each first mention of Clinto or Obama in a news story</t>
  </si>
  <si>
    <t>Also: study tests whether Clinton is differently addressed in the media than Obama. They show that Clinton is significantly more often mentioned with her first name only and significantly less often with her last name only. On the other catagories (first and last name, Senator, Mr/Mrs, and party or horse-race title), there are no significant differences.</t>
  </si>
  <si>
    <t>Trimble (2017)</t>
  </si>
  <si>
    <t>Ms. Prime Minister: Gender, Media and Leadership</t>
  </si>
  <si>
    <r>
      <t>Trimble, L. (2017). </t>
    </r>
    <r>
      <rPr>
        <i/>
        <sz val="11"/>
        <color indexed="56"/>
        <rFont val="Calibri"/>
        <family val="2"/>
      </rPr>
      <t>Ms. Prime Minister: Gender, Media, and Leadership</t>
    </r>
    <r>
      <rPr>
        <sz val="11"/>
        <color indexed="56"/>
        <rFont val="Calibri"/>
        <family val="2"/>
      </rPr>
      <t>. University of Toronto Press.</t>
    </r>
  </si>
  <si>
    <t>Canada, New Zealand, Australia.</t>
  </si>
  <si>
    <t>Prime minister</t>
  </si>
  <si>
    <t xml:space="preserve">Australia: 2010 Plurality/Majority AV 1 150 150 Not applicable (female representation: 27.3)
Canada: 1993 Plurality/Majority FPTP 1 295 295 Not applicable (female regresentation: 13.3)
New Zealand: 1996 Mixed MMP 3 120 120 Not applicable (source: IDEA) (female representation: 29.2)
</t>
  </si>
  <si>
    <t>1993, 1996, 1999, 2002, 2005, 2008, 2010</t>
  </si>
  <si>
    <t>Newspapers (national or main regional ones), TV is also analysed for qualitative analyses of the leadership ascensions</t>
  </si>
  <si>
    <t>Three newspapers per country. For Canada: Globe and Mail (national), Vancouver Sun (regional) and Montreal Gazette (regional). New Zealand: Dominion Post (earlier Dominion and Evening Post, regional), New Zealand Herald (regional) and Press (regional). Australia: the Australian, the Sydney Morning Herald and the Age (leading broadsheets).</t>
  </si>
  <si>
    <t>Paired sample: the direct male competitor during elections</t>
  </si>
  <si>
    <t>Newspaper articles.</t>
  </si>
  <si>
    <t>Percentage of type of coverage per leader. At some instance, amount of a type of mention per leader.</t>
  </si>
  <si>
    <t>NA. The author does inspect for one female leader (Kim Campbell) the tone of the evaluations of her speaaking style (compared to Jean Chrétien), finding more negative evaluations of her speaking style. However, only this case out of the four female leader was chosen, precisely because of the negative evaluations of her speaking style: "I was surprised by the number of derisory comments about Canada's first woman prime minister's speaking style as they stood in stark contrast to the largely positive assessments of Clark's, Shipley's, and Gillard's manner of speaking." (p. 190)</t>
  </si>
  <si>
    <t>5. Men more family, unknown significance</t>
  </si>
  <si>
    <t>Martical situation, children or childlessness. Attention to marital situation and to children are counted seperately, and on both counts men receive more attention, as a percentage of their coverage. The author attributes this to the family strategy: "the deliberate politicization of family life to gain media attention and public support for a candidate." (p105).</t>
  </si>
  <si>
    <t>Appearance, mention of aspect of the appearance, or "look" of the body. Mentions of looks, evaluations of physical appearance, references to specific aspects of the body, stature, adronment and deportment. In the paired sample, women received on average 10.33% of newspaper stories mentioning appearance, and men on average 7.5%</t>
  </si>
  <si>
    <t>Gender markers, gender labels. P72 "In four of the six election featuring a contest between a women and a man [..] a slightly larger percentage of newspaper articles indicated the gender of the men lader than htat of the women" In the qualitative analysis, the type of gender marker differs for men and women.</t>
  </si>
  <si>
    <t>The author supplements the quantitative content analyses with many qualitative discourse analyses.</t>
  </si>
  <si>
    <t>Goodyear-Grant (2013)</t>
  </si>
  <si>
    <t>Gendered news: Media coverage and electoral politics in Canada</t>
  </si>
  <si>
    <t>Goodyear-Grant, E. (2013). Gendered news: Media coverage and electoral politics in Canada. UBC Press.</t>
  </si>
  <si>
    <t>TV, four networks (CBC, CTV, SRC, and TVA) collected by the 2000 Canadian Election Study. Two of the broadcasters are private (CTV and TVA) and two public (CBC and SRC).</t>
  </si>
  <si>
    <t>No formal controls, focus in the comparison on politicians with similar standings in the polls</t>
  </si>
  <si>
    <t>News story on TV news; a subanalysis on one broadcaster uses sub-story level</t>
  </si>
  <si>
    <t>News stories per politician; a subanalysis on one broadcaster uses sub-story level per candidate</t>
  </si>
  <si>
    <t xml:space="preserve">Visibility refers to 'the salience of politicians in the media'(p.25). Visibility is comprised of amount of coverage (quantity) and prominence of the coverage (p.26). Gauged in a number of measures: number of stories, mean length of stories, and headlines. </t>
  </si>
  <si>
    <t>6. Men more viability, mixed significance</t>
  </si>
  <si>
    <t>Viability coverage, an indicator of which is polls (p.79), and coverage on party strategies, and electoral battles. This is inspected in the four-network data. McDonough's coverage were not at all or very little about these aspects, and in stead were showing her leader activities on the campaign trail.</t>
  </si>
  <si>
    <t>NA. A qualitatively based discussion is included on page 82-83.</t>
  </si>
  <si>
    <t xml:space="preserve">Clips and sound bites with family members. The researcher finds this happens least for the female party leader (1% versus 11%, 9% and 11%), but argues that this is probably to be attributed to her own strategy, as she expected unbeneficial coverage on this from because she was divorced. Significance is tested for the whole table, so on differences between persons and not between the sexes, therrefore it is unclear whether the difference is significant. </t>
  </si>
  <si>
    <t>NA. Researcher does discuss explcicit mentions of (p77-78) professional qualifications and political experience, but the results are not shown or discussed in cencrete terms. Apparently this type of coverage was rare for for sexes, but non existant for the woman candidate in this study.</t>
  </si>
  <si>
    <t>"Hard" versus "soft" issues. Hard issues are economic, foreign affairs, defence, and constitutional issues; soft issues are those that deal with social policy, for the most part. The female party leader's coverage focussed more on soft issues that the coverage of the all male leaders, while the male leaders' coverage was for all male leaders hgher on 'hard issues' than that of the female leader. The differences are likely significant, but it is not certain because the significance test is doen on the whole table (chi2), so can reflect any difference between persons (also between the men). Data are from the four television networks.</t>
  </si>
  <si>
    <t>NA. The researcher does inspect, based on the association between masculinity and leadership, whether men are more often portrayed with symbols of political power (p.76-77), and finds that they are (significance unknown).</t>
  </si>
  <si>
    <t>Speaking agentically. Ratio sound bites to clips. In sound bites the politician is speaking themselves, in clips there is more interpretation/mediation. (p.41) This is done on data from 1 of the 4 broadcasters only.</t>
  </si>
  <si>
    <t>Four additional aspects are considered by the researcher: attack behaviour, symbols of political power, interpretative reporting, and reporting without backing 'evidence'. 1) Attack behaviour is measured as verbal attack and aggressive body language, and the results sho that McDonough was presented as more confrontational than her male competitors (p.69 and onward). The author cites Gidengil and Everitt's analyses of the own behaviour of candidates to argue that McDonough was not really more aggresive in the debates. 2) McDonough is less often linked to a symbol of power. This is partly due to the fact that she was not one of the two main contenders for prime minstership, but also compared Clark, who also was no contender, she was portrayed less with these symbols. 3) Descriptive versus interpretativ reporting: no significant gender differences (p.86-87). 4) Backing evidence: journalists gave more backing evidence for interpretative statements about the male candidates than about the female candidate.</t>
  </si>
  <si>
    <t>Number of news stories per leader, mean length of news stories, share of stories with headline mention. Used here: the number of stories. Five party leaders are considered, but the author focusses the comparison on two that are most comparable in the standing in the polls. Here we also use the comparison between McDonough (female, NDP) and Clark (male, PC).</t>
  </si>
  <si>
    <t>The NDP leader (McDonough, female) got 77 stories, the PC leader (Clark, male) 86. Though not used in the quantitative measure here, the mean length of story was also shorter for the female candidate than for the male (53 seconds versus 73), and the share of headline mentions was also lower (about 17% versus about 31%).</t>
  </si>
  <si>
    <t>Candidates for parliament other than party leaders</t>
  </si>
  <si>
    <t>CBC The National, extra analysis beyond just the party leaders</t>
  </si>
  <si>
    <t xml:space="preserve">Sound bites </t>
  </si>
  <si>
    <t>Sound bites per gender</t>
  </si>
  <si>
    <t>Visibility refers to 'the salience of politicians in the media'(p.25). Visibility is comprised of amount of coverage (quantity) and prominence of the coverage (p.26). In this analysis (p43), the number of soundbites  and soundbite time per politician is considered. 21% of the candidates were women, and the received 19% of total soundbite-time (19 soundbites of the totaal 97+17 sound bites, mean length for women was 8.58 and for men 6.57, total time for women 147 and 635 for men.)</t>
  </si>
  <si>
    <t>Visibility as sound bite time per gender, relative to the share of male anf female candidates.</t>
  </si>
  <si>
    <t>21% of the candidates were women, and the received 19% of total soundbite-time (19 soundbites of the totaal 97+17 sound bites, mean length for women was 8.58 and for men 6.57, total time for women 147 seconds and 635 second for men.)</t>
  </si>
  <si>
    <t>Candidates for parliament (including party leaders)</t>
  </si>
  <si>
    <t>7 newspapers (Gloabe and Mail, National Post, Vancouver Sun, Calgary Herald, Toronto Star, La Presse, and Le Devoir) collected by the McGill Media Observatory</t>
  </si>
  <si>
    <t>No formal controls, focus in the comparison on politicians with similar function, for example by excluding party leaders from analysis.</t>
  </si>
  <si>
    <t>Articles per politician</t>
  </si>
  <si>
    <t>Visibility refers to 'the salience of politicians in the media'(p.25). Visibility is comprised of amount of coverage (quantity) and prominence of the coverage (p.26). For this analysis, the number of first mentions in an article are counted (so if a politician is the first to be mentioned in an article). p.45: women represented 23% of candidates and received 23 percent of first mentions in print news. Because all party eaders were male in this year, party leaders are excluded from the analysis.</t>
  </si>
  <si>
    <t>6. Women more positive, mixed significance</t>
  </si>
  <si>
    <t>Tone of stories, neutral, positive, negative. "Looking at all print stories as a whole, women receive more positive- and neutral-tone stories than men, and fewer negative-tone stories"(p.100). P-value is 0.08. This is coded as mixed significance, as this fits best with the authors description (p.100).</t>
  </si>
  <si>
    <t>Viability coverage, measured through horcerace stories, which are focussed on competitive angles. "63 percent of women's stories versus 50 percent of men's are horcerace stories" (p.99).</t>
  </si>
  <si>
    <t>Tone of horcerace stories (p.99-100). "There was no gender difference in tone for male and female candidates' horcerace-focused stories (results not shown). For candidates of both sexes, 89 percent of their horcerace stories were neutral in tone [..] For both men and women, 5 to 6 percent of stories were negative and 5 to 6 percent positive."</t>
  </si>
  <si>
    <t>"it explicitly mentions a candidate's personal romantic relationship status, and whether it explicitly mentions a candidate's parental status" (p.89). Part of section on personal coverage. Women get significantly more references on both indicators.</t>
  </si>
  <si>
    <t>"whether the story explicitly mentions the candidate's appearance" (p.89). Part of the section on personal coverage. Owmen get significantly more references to their appearance</t>
  </si>
  <si>
    <t>"three aspects of coverage were coded: explicit mention of candidates'educational background or attainment, explicit mention of their professions or occupational history, and explicit mention of their experience in politics. On all three indicators, there were no statistically significant differences between coverage of male and female candidates (results not shown." (p.96).</t>
  </si>
  <si>
    <t>Issue coverage (p.99). 40 percent of men's stories are issue stories, versus 25 percent of htet women's.</t>
  </si>
  <si>
    <t>"Hard" versus "soft" issues. Hard issues are economic, foreign affairs, defence, and constitutional issues; soft issues are those that deal with social policy, for the most part. "As Table 2.15 shows, the nature of issue coverage in print news of the 2005-06 campaign was quite similar for both men and women." (p.101). However, when split out for challangers and incumbents, results remained the same for incumbents, but they became significantly stereotype consistent for challengers.</t>
  </si>
  <si>
    <t>Speaking agentically. Direct quotation versus paraphrase or neither. Men are quoted in 58% of their articles, women in 60%.</t>
  </si>
  <si>
    <t>Number of articles in which the politician is the first mentioned politician, per gender.</t>
  </si>
  <si>
    <t>"In the 2006 federal election, there were 1,634 candidates, 380 women and 1,254 men" (p.45). Male candidates received 535 first mentions, women 163.</t>
  </si>
  <si>
    <t>Hayes (2011)</t>
  </si>
  <si>
    <t>When Gender and Party Collide: Stereotyping in Candidate Trait Attribution.</t>
  </si>
  <si>
    <t>Hayes, D. (2011). When gender and party collide: Stereotyping in candidate trait attribution. Politics &amp; Gender, 7(2), 133-165.</t>
  </si>
  <si>
    <t>Newspaper: the largest newspaper in each of the 30 states during the last month of the campaign. Using Nexis and Newsbank batabases, coded every article that mentioned at least one of the two senate candidates.</t>
  </si>
  <si>
    <t>One newspaper per state (largest newspaper). Using Nexis and Newsbank batabases, coded every article that mentioned at least one fo the two senate candidates.</t>
  </si>
  <si>
    <t>No controls. Content analysis is not the main dependent variable of the article (it is used as an inderpendent variable explaining voter behavior).</t>
  </si>
  <si>
    <t>Articles / paragraphs</t>
  </si>
  <si>
    <t>Paragraphs. The N displayed here is the number of paragraphs coded with trait descriptions.</t>
  </si>
  <si>
    <t xml:space="preserve">"Feminine" traits and "masculine" traits. Footnote 13 page 145: The "Feminine" traits were compassionate, caring, patient, generous, respectful, weak, weak leader, passive, indecisive, incompetent, and unintelligent. The "masculine" traits were strong leader, tough, ambitious, decisive, independent, intelligent, competent, determined, confident, energetic, engaged, power hungry, not compassionate, uncaring, and stubborn. There were no significant differences on either set of traits, and among republican candidates, men were portrayed more with "feminine" traits and women more with "masculine" traits (both not signicant though). </t>
  </si>
  <si>
    <t>Explicit mentions of the candidates' gender. Footnote 11 on page 145. "Predictably, races that involved female candidates were more likely to have gender mentioned than those involving males only. But even in those contests, gender was explicitly references only infrequently." It is unclear to me whether this difference is significant, although it is likely given the use of signifance tests in the rest of the article.</t>
  </si>
  <si>
    <t>Banducci, Karp and Kittilson (2007)</t>
  </si>
  <si>
    <t>Banducci et al. (2007)</t>
  </si>
  <si>
    <t>Representation, Political Engagement, and Women’s Visibility in Electoral Politics: A Comparative Perspective</t>
  </si>
  <si>
    <t>Conference</t>
  </si>
  <si>
    <t>2. Conference paper</t>
  </si>
  <si>
    <t>Banducci, S., Karp, J., &amp; Kittilson, M. C. (2007). Representation, Political Engagement, and Women’s Visibility in Electoral Politics: A Comparative Perspective. In annual meeting of the American Political Science Association, Chicago, IL.</t>
  </si>
  <si>
    <t>MEPs</t>
  </si>
  <si>
    <t>Both television news and newspapers were coded in each country.
2
With two television news outlets and three newspapers per country, the sample consists of 48
television networks (in Belgium two French and two Flemish stations were included) and 75
newspapers. For newspapers, three weeks prior to the election are covered and for television the
two weeks prior to the election are covered. The entire news program of each station was
analyzed. The front page and one random chosen inside page of the newspaper were analyzed.
Our unit of coding and of analysis is the individual news story.</t>
  </si>
  <si>
    <t>Three newspapers per country. The front page and one random chosen inside page of the newspaper were analyzed.</t>
  </si>
  <si>
    <t>Around 7000 (rough estimate)</t>
  </si>
  <si>
    <t>About 2285 (rough estimate)</t>
  </si>
  <si>
    <t>Countries</t>
  </si>
  <si>
    <t>Visibility of women in political coverage. Up to 20 actors were coded per story, the visibility measure is the percentage of women of all the coded political actors (MEPs). Results are reported per country in a scatterplot against the proportion of female candidates.</t>
  </si>
  <si>
    <t>Percentage of all MEP candidates appearing in news stories that were women. In addition, the authors also use a measure that reflects the viability of women candidates, namely the percentage of candidates that appear as the main actor in a news story that are women. Here, the former is used.</t>
  </si>
  <si>
    <t>Results are in Figure 1 on page page 20. They were read from the graph using WebPlotDigitizer (https://apps.automeris.io/). The mean proportion of women candidates over the 25 countries is 0.3264, the mean visibility of female candidates is 0.2461. Thus, percent visibility per percent female candidate is 0.2461/0.3264=.75. Because the percentages add up to 1, the visibility for men is 1-.2461=.7539 for 1-0.3264=0.6736 of the candidates. Thus, the visibility percent per male candidate is 0.7539/0.6736=1.12.
The first number is the x-axis, proportion of women candidates, the second number is the y-axis, visibility of female candidates.
Malta 0.11138 0.13083
Cyprus 0.20306 0.25113
Lithuania 0.21935 0.16992
Hungary 0.22139 0.1218
Slovakia 0.23056 0.4
Estland 0.24177 0.2812
Poland 0.24075 0.15188
Czech Republic 0.25093 0.2812
Ireland 0.27233 0.3609
Greece 0.27436 0.31128
Latvia 0.28048 0.2
Germany 0.29779 0.1609
Spain 0.32733 0.082707
United Kingdom 0.32428 0.16992
Denmark 0.33752 0.42105
Italy 0.33752 0.21053
Netherlands 0.3416 0.15188
Luxembourg 0.3691 0.26015
Portugal 0.38031 0.2812
Finland 0.38642 0.37143
Sweden 0.4194 0.4391
Slovenia 0.42818 0.30075
Belgium 0.47199 0.25113
France 0.50051 0.2
Austria 0.69202 0.19098</t>
  </si>
  <si>
    <t>Fridkin and Kenney (2014)</t>
  </si>
  <si>
    <t>The changing face of representation: The gender of US senators and constituent communications.</t>
  </si>
  <si>
    <t>Fridkin, K., &amp; Kenney, P. (2014). Coverage of Senators in the Local Press. Chapter 5 in The changing face of representation: The gender of US senators and constituent communications. University of Michigan Press.</t>
  </si>
  <si>
    <t>Newspaper, one local state paper per state</t>
  </si>
  <si>
    <t>One newspaper per state</t>
  </si>
  <si>
    <t>Party, reelection year, seniority (years in senate), newspaper circulation (logged), press releases by senator (logged)</t>
  </si>
  <si>
    <t>16 to 32</t>
  </si>
  <si>
    <t>Visibility is captured in three ways: headline mentions, number of paragraphs and number of quotes. Here, only the first two are considered as 'visibility', number of quotes is considered as a separate category. Including control variables, gender (female=1) has a significant negative effect on headline mentions, and a non-significant negative effect on the number of paragraphs (p 88-89). Note that among the controls is the (log of) the number of press releases of the senator.</t>
  </si>
  <si>
    <t>Tone is operationalized in three ways: the number of criticisms per article, the balance of positive versus negative traits published about senators, and the proportion of articles crediting the senator with positive policy outcomes. Over all thee outcomes, coverage is significantly more positive about female senators: female senators receive statistically significantly fewer criticisms than male senators (table 5.3, not that in descriptive data without controls, women receive more criticisms); female senators receive significantly more credit on issues (table 5.4); and significantly more positively balanced trait coverage (table 5.5).</t>
  </si>
  <si>
    <t>Number of trait paragraphs. Women receive more, but not significantly so (Table 5.6, b=0.06, se=0.10)</t>
  </si>
  <si>
    <t>Number of issue paragraphs. Table 5.6 (with controls) female senators receive significantly less issue paragraphs (b=-.70, se=.08).</t>
  </si>
  <si>
    <t>6. Men more on male issues, men more on female issues, mixed significance</t>
  </si>
  <si>
    <t xml:space="preserve">Competitive or "male" issues include defense, foreign policy, business, inflation, economy, budget, energy, farm, and taxes. Compassion or "female" issues include health care, elderly, welfare, child care, education and environment. Male senators are mentioned significantly more often with competitive issues (b=-.59, se=.17), they are mentioned nonsignificantly more often with communal issues (b=-.15, se=.18). Note that male senators receive more issue coverage overall, and the just mentioned analysis looks at absolute amount of issue mentions in each category, so it can partly be driven by the higher amount of issue attention for men. </t>
  </si>
  <si>
    <t>7. Women more on male traits, women more on female traits, mixed significance</t>
  </si>
  <si>
    <t>Agentic traits include experience, strong leader, competent, accomplished, hardworking, aggressive, independent, consistent, and ambitious. Communal traits include caring, advocate, moral, compassionate, honest and empathetic. Female senators receive more agentic trait cogerage (b=.23, se=.14; logistic regression in table 5.8) and more communal trait coverage (b=.20, se=.12). The latter is significant at p&lt;0.10, the former is not significant.</t>
  </si>
  <si>
    <t>Authors consider this as part of visibility. In a negative binomial regression, controlling for party, election year, seniority, circulation, and the senator's press releases, gender (female=1) has a significant negative effect on the number of quotes (Table 5.2, page 89).</t>
  </si>
  <si>
    <t>Press coverage of representational style, consisting of four dimension: 1) issue positions, 2) leadership position, 3) symbolic activities, and 4) allocation activities. In their own communications, female senators emphasize the first two, and male senators the last two. Media coverage does the opposite: it focuses more on male senators' positions on issues and leadership positions, and more on female senators symbolic representativeness and allocation responsiveness. These differences are statistically significant in multivariate models, except for the result on allocation responsiveness.</t>
  </si>
  <si>
    <t>Headline mention (yes/no)</t>
  </si>
  <si>
    <t>men are mentioned in the headline of a story in 16% of the time, while women are only mentioned in the headline in 13% of the stories'</t>
  </si>
  <si>
    <t xml:space="preserve">Headline mention (yes/no) and number of paragraphs (length of the newspaper article). The authors also discuss the number of time the politician is quoted in the newspaper article as part of visibility, that measure is not included here. We take the average of the two measures (headline mentions and number of paragraphs). </t>
  </si>
  <si>
    <t>Results are logistic regression coeffcients for the headline mentions (-.36) and binomial regression coefficients for the number of paragraphs (b=-.02). Odds ratio of -.36 is 0.70 (e^-.36); incidence rate ratio of -.02 is 0.98 (e^-.02). The average over both is 0.84.</t>
  </si>
  <si>
    <t>Fridkin, K., &amp; Kenney, P. (2014). The Impact of the Senator's Gender during Reelection Campagns. Chapter 7 in The changing face of representation: The gender of US senators and constituent communications. University of Michigan Press.</t>
  </si>
  <si>
    <t>11 to 21</t>
  </si>
  <si>
    <t>Competitive or "male" issues include defense, foreign policy, business, inflation, economy, budget, energy, farm, and taxes. Compassion or "female" issues include health care, elderly, welfare, child care, education and environment. The content of issue coverage of male and female senators is the same, however, the media coverage is much more reflective of male senators' own issue emphasis than that of female senators (to which the media even respond in the opposite direction). This interpretation derives from the multiplicative model in Table 7.2, the descriptive results and the interpretation of the authors.</t>
  </si>
  <si>
    <t>Agentic traits include experience, strong leader, competent, accomplished, hardworking, aggressive, independent, consistent, and ambitious. Communal traits include caring, advocate, moral, compassionate, honest and empathetic. Descriptively, female senators are somewhat more often mentioned with agentic traits than male senators, and somwhat less with communal traits than male senators (significance not reported on this). However, the trait coverage of male senators exactly mirrors their own trait emphasis in ads, while the trait coverage of female senators does not. In their ads, female senators emphasize agentic traits more than is done in their media coverage, and communal traits less than is done in their media coverage.</t>
  </si>
  <si>
    <t>Meeks (2013)</t>
  </si>
  <si>
    <t>All the gender that’s fit to print: How the New York Times covered Hillary Clinton and Sarah Palin in 2008</t>
  </si>
  <si>
    <t>Meeks, L. (2013). All the gender that’s fit to print: How the New York Times covered Hillary Clinton and Sarah Palin in 2008. Journalism &amp; Mass Communication Quarterly, 90(3), 520-539.</t>
  </si>
  <si>
    <t>Presidential candidates and vice-presidential candidates</t>
  </si>
  <si>
    <t>2007, 2008</t>
  </si>
  <si>
    <t>Newspaper (New York Times)</t>
  </si>
  <si>
    <t>New York Times (newspaper)</t>
  </si>
  <si>
    <t>No formal controls. By design some control: the female candidates (Hillary Clinton and Sarah Palin) are compared to their direct male competitors. In Clinton's case it is a candidate from the same party, thus effectively controlling for party. In Palin's case, the male candidate is from a different party.</t>
  </si>
  <si>
    <t>NA. Article does not explicitly address the trait amount, but given that the men and women candidates receive equal amounts of feminine and masculine trait coverage, it can be deduced that the total amount of trait coverage is about equal as well.</t>
  </si>
  <si>
    <t>NA. Article does not explicitly address this, but given that men receive more feminine issue coverage and more masculine issue coverage, we can assume they received more issue coverage in general. It is unknown whether this difference is significant.</t>
  </si>
  <si>
    <t>Feminine and masculine issues. "Issue emphases were coded as feminine issues, which contained any discussion of the candidate and the issues of education, health care, reproductive rights, and women’s issues, for example, equal rights and equal pay; and masculine issues, which contained any discussion of the candidate and the issues of military/defense, crime, foreign affairs, and economy. " Results: "data indicate that the men received more feminine and masculine issue coverage. However, using two-tailed difference of proportions tests, only one comparison was significant: Obama/Biden received more masculine issue coverage than Palin, p &lt; .05. Therefore, the news media did not provide more feminine issue coverage for the women, but in one of the two comparisons they focused on more masculine issue coverage for the men."</t>
  </si>
  <si>
    <t>Feminine and masculine traits. "Traits were coded as feminine, which contained any discussion of whether the candidate conveyed the following traits: compassion, emotionality, honesty, congeniality, and altruism; and masculine, which contained any discussion of whether the candidate conveyed the following traits: leadership, rationality, decisiveness, aggressiveness, and independence." Results: "When comparing women and men in the rows, Table 3 showed nearly identical results for each of the candidate comparisons: The Times included nearly identical (and in one case, identical) amounts of feminine and masculine trait coverage of the candidates. Overall, no matter the gender of the candidate, the Times’ feminine and masculine trait coverage of these candidates was quite similar."</t>
  </si>
  <si>
    <t>2. Women more mention of their gender, mixed significance</t>
  </si>
  <si>
    <t>Gendered labeling. "For novelty, gender labels (explicit gender references such as “woman,” “man,” “mother,” or “husband”) and uniqueness labels (explicit references such as “first,” “pioneer,” or “lone”) were coded." Gendered labels and uniquesness reported seperately. Both women candidates received more gendered labels than the men (17.5% for Clinton, 11.0% for Obama/McCain, 18.8% for Palin, 8.3% for Obama/Biden). The difference between Clinton and her male competitor is statistically significant, between Palin and het competitor not. The authors mention that the latter might be due to low power, as Palin only had 48 articles.</t>
  </si>
  <si>
    <t>Uniqueness labels. Asie from gendered labels, uniqueness labels (explicit references such as “first,” “pioneer,” or “lone”) were coded. The men got more uniqueness labels in their coverage, mostly due to Obama being described as 'the first black president'. The difference between the male and female candidates is not significant.</t>
  </si>
  <si>
    <t>Renner and Masch (2019)</t>
  </si>
  <si>
    <t>Emotional woman–rational man? Gender stereotypical emotional expressivity of German politicians in news broadcasts</t>
  </si>
  <si>
    <t>Communications</t>
  </si>
  <si>
    <t>Renner, A. M., &amp; Masch, L. (2019). Emotional woman–rational man? Gender stereotypical emotional expressivity of German politicians in news broadcasts. Communications, 44(1), 81-103.</t>
  </si>
  <si>
    <t>Relevant actors are defined as German politicians holding important positions in the past or present in the executive or legislative body or in a party on a European, federal, or state level</t>
  </si>
  <si>
    <t>2013, 2014</t>
  </si>
  <si>
    <t>TV, news programs of the five most important public and private TV channels</t>
  </si>
  <si>
    <t>Age, party affiliation, level of the office (state, national, European), election time, public or private TV channel</t>
  </si>
  <si>
    <t xml:space="preserve">Every video sequence (footage between two cuts) in which one can recognize one or more politicians forms a unit of analysis. </t>
  </si>
  <si>
    <t>Politicians in video segments</t>
  </si>
  <si>
    <t>The authors inspect (1) whether woman politicians are more often visible while expressing emotions (in TV segments), and (2) whether they express more positive emotions than men when they do. Both descriptively and in the regression analyses, the authors find support for these expectations. "These findings are in line with the stereotype of the ‘emotional woman’ who smiles frequently." It is unclear (as the authors also note) whether this is due to the behavior by the politicians, or journalistic decisions.</t>
  </si>
  <si>
    <t>Sjøvaag and Pedersen (2019)</t>
  </si>
  <si>
    <t>Female voices in the news: Structural conditions of gender representations in Norwegian newspapers.</t>
  </si>
  <si>
    <t>Sjøvaag, H., &amp; Pedersen, T. A. (2019). Female voices in the news: Structural conditions of gender representations in Norwegian newspapers. Journalism &amp; Mass Communication Quarterly, 96(1), 215-238.</t>
  </si>
  <si>
    <t>Politicians (can be any office)</t>
  </si>
  <si>
    <t xml:space="preserve"> 'a representative sample of 75 news outlets in Norway' [..] 'six national newspapers and the online news editions of two national broadcasters; six metropolitan newspapers; and 63 local papers published in all regions of the country'</t>
  </si>
  <si>
    <t>1264 (very rough estimate)</t>
  </si>
  <si>
    <t>Politicians (sources) in articles, i.e., names appearing in the news</t>
  </si>
  <si>
    <t>Presence in the news as sources. 'When the elites get to speak in the news media, however, males dominate the coverage. In Norwegian politics, women make up 39% of elected county representatives, 28.3% of mayors, and 39.6% of parliament representatives (2015 figures; Statistics Norway, 2017). However, as this analysis shows, women politicians speak in only 29% of cases.'</t>
  </si>
  <si>
    <t>Percentage of men/women among politicians figuring as sources in newspaper articles. A source is defined as follows: "Voices or sources in the news were operationalized in terms of visibility or presence (cf. Raddum &amp; Veum, 2006). Designating voices to one of the 14 source categories involved asking “who speaks here?”, and “who are they speaking as?”"</t>
  </si>
  <si>
    <t>29% of politician sources are female, 71% are male. The authors compare this to the following numbers on the presence of women in politics: "In Norwegian politics, women make up 39% of elected county representatives, 28.3% of mayors, and 39.6% of parliament representatives (2015 figures; Statistics Norway, 2017)." The average of these three numbers is used here to calculate the per person visibility of men and women.</t>
  </si>
  <si>
    <t>The comparison share of female politicians is an average of three types of politician (mentioned by the authors), this comparison is imprecise as it is not know what type of politician actually occurs with what frequency in the analysis</t>
  </si>
  <si>
    <t>Sensales and Arenia (2017)</t>
  </si>
  <si>
    <t>Gender Biases and Linguistic Sexism in Political Communication: A Comparison of Press News About Men and Women Italian Ministers.</t>
  </si>
  <si>
    <t>Journal of Social and Political Psychology</t>
  </si>
  <si>
    <t>Sensales, G., &amp; Arenia, A. (2017). Gender Biases and Linguistic Sexism in Political Communication: A Comparison of Press News About Men and Women Italian Ministers. Journal of Social and Political Psychology, 5(2), 512-536.</t>
  </si>
  <si>
    <t>Italy</t>
  </si>
  <si>
    <t>five Italian newspapers with different cultural-ideological orientations: L’Unità and La Repubblica on the left/center-left, Il Corriere della Sera of the center, and Il Giornale and Il Tempo on the right/center-right. The headlines included above-headline (brief introduction to the news), sub-headline (which clarifies and adds some detail to the news), and summary (which highlights some specific elements contained in the article).</t>
  </si>
  <si>
    <t>headlines of articles</t>
  </si>
  <si>
    <t>Coverage by gender, focus of the headlines.</t>
  </si>
  <si>
    <t>Part of Linguistic Category Model (LCM). "The results indicated greateruseofpositiveadjectivesforwomenministersversusgreateruseofnegativeadjectivesformenministers (χ2(1, N =253) =6.79,p &lt;.01)." Neutral adjectives are not taken into account for this calculation.</t>
  </si>
  <si>
    <t>NA. The authors do inspect liguistic markers of agency, which can be linked to stereotypes.</t>
  </si>
  <si>
    <t>7. Men quoted less often, significant</t>
  </si>
  <si>
    <t>Direct discourse, as part of linguistic agency. "in thequotationsof direct discourse, the ratio of agency for headlines related to men and women ministers indicated a higher level for women (.62) compared to men (.49)—and the differences were statistically significant (z = 2.17, p &lt; .05)."</t>
  </si>
  <si>
    <t>The authors inspect a number of additional aspects. 1) in what way the minister is named in the headline. Women are more often named by their first name and surname (unknown significance). 2) Linguistic markers of agency. This is measured by direct quotations (see results at that aspect) and first person pronouns and verb conjugations. The former women are covered by significantly more, contrary to expectation, and the latter as well but not significantly so. 3) Abstract/concreteness of the language used. Part of this is the valence of adjective, see the aspect 'tone' for results. "althoughtherewasaslightlylowerabstraction level for the men ministers in the headlines than in the entire articles, this difference was not significant" For the women ministers only, the authors also inspect the use of sexist and non-sexist language. As sexist is designated a number of grammatical constructions, such as 'la ministro' (where the masculine word ministro is accompanied by a feminine article).</t>
  </si>
  <si>
    <t xml:space="preserve">Percentage of headlines mentioning a male or female minister. </t>
  </si>
  <si>
    <t xml:space="preserve">"Men ministers were the focus of 57% of the headlines, compared with 30% for the women ministers. Finally, in 3% of the headlines, more women ministers received coverage at the same time, whereas in 10% of the headlines both men and women appeared at the same time in the headlines." The first sentence is taken as the results here. The number of male ministers is equal to that of female ministers (both 9).
</t>
  </si>
  <si>
    <t>Trimble, Wagner, Sampert, Raphael and Gerrits (2013)</t>
  </si>
  <si>
    <t>Trimble et al. (2013)</t>
  </si>
  <si>
    <t>Is it personal? Gendered mediation in newspaper coverage of Canadian national party leadership contests, 1975-2012</t>
  </si>
  <si>
    <t>The International Journal of Press/Politics</t>
  </si>
  <si>
    <r>
      <t xml:space="preserve">Trimble, L., Wagner, A., Sampert, S., Raphael, D., &amp; Gerrits, B. (2013). Is it personal? Gendered mediation in newspaper coverage of Canadian national party leadership contests, 1975–2012. </t>
    </r>
    <r>
      <rPr>
        <i/>
        <sz val="11"/>
        <color indexed="8"/>
        <rFont val="Calibri"/>
        <family val="2"/>
      </rPr>
      <t>The International Journal of Press/Politics</t>
    </r>
    <r>
      <rPr>
        <sz val="11"/>
        <color theme="1"/>
        <rFont val="Calibri"/>
        <family val="2"/>
      </rPr>
      <t xml:space="preserve">, </t>
    </r>
    <r>
      <rPr>
        <i/>
        <sz val="11"/>
        <color indexed="8"/>
        <rFont val="Calibri"/>
        <family val="2"/>
      </rPr>
      <t>18</t>
    </r>
    <r>
      <rPr>
        <sz val="11"/>
        <color theme="1"/>
        <rFont val="Calibri"/>
        <family val="2"/>
      </rPr>
      <t>(4), 462-481.</t>
    </r>
  </si>
  <si>
    <t>Newspaper: Globe and Mail</t>
  </si>
  <si>
    <t>No formal controls. By design some control: female candidates are compared to male close competitors (closest in the final election results, but also winner is always included and 2 all male races included, thus 'popularity in the pols' is not really included by design). Definitely controlled by design: the party (primary elections)</t>
  </si>
  <si>
    <t>Article per politician</t>
  </si>
  <si>
    <t>Number of articles in which candidate was substantively discussed</t>
  </si>
  <si>
    <t>Measured by percentage of articles that discusses marital status and children</t>
  </si>
  <si>
    <t>Articles including references to physical appearance</t>
  </si>
  <si>
    <t>Articles including references to age and upbringing</t>
  </si>
  <si>
    <t>Articles including gender marker (such as man and woman)</t>
  </si>
  <si>
    <t>Also: mention of sexuality of candidate was included in the coding</t>
  </si>
  <si>
    <t>Average number of articles that includes a substantive discussion of the candate per candiate</t>
  </si>
  <si>
    <t>Calculated based on table 1: average nr of articles for female candidates is 99.82; average nyumber of articles for male candidates is 124,21</t>
  </si>
  <si>
    <t>Based on own calculation, based on descriptive results in table 1</t>
  </si>
  <si>
    <t>Sensales, Areni and Dal Secco (2016)</t>
  </si>
  <si>
    <t>Sensales et al. (2016)</t>
  </si>
  <si>
    <t>Italian political communication and gender bias: Press representations of men/women presidents of the Houses of Parliament (1979, 1994, and 2013)</t>
  </si>
  <si>
    <t>International Journal of Society, Culture and Language</t>
  </si>
  <si>
    <r>
      <t xml:space="preserve">Sensales, G., Areni, A., &amp; Dal Secco, A. (2016). Italian political communication and gender bias: Press representations of men/women presidents of the Houses of Parliament (1979, 1994, and 2013). </t>
    </r>
    <r>
      <rPr>
        <i/>
        <sz val="11"/>
        <color indexed="8"/>
        <rFont val="Calibri"/>
        <family val="2"/>
      </rPr>
      <t>International Journal of Society, Culture &amp; Language</t>
    </r>
    <r>
      <rPr>
        <sz val="11"/>
        <color theme="1"/>
        <rFont val="Calibri"/>
        <family val="2"/>
      </rPr>
      <t xml:space="preserve">, </t>
    </r>
    <r>
      <rPr>
        <i/>
        <sz val="11"/>
        <color indexed="8"/>
        <rFont val="Calibri"/>
        <family val="2"/>
      </rPr>
      <t>4</t>
    </r>
    <r>
      <rPr>
        <sz val="11"/>
        <color theme="1"/>
        <rFont val="Calibri"/>
        <family val="2"/>
      </rPr>
      <t>(2), 22-38.</t>
    </r>
  </si>
  <si>
    <t>Presidents of the Houses of Parliament</t>
  </si>
  <si>
    <t>1979, 1994, 2013</t>
  </si>
  <si>
    <t>5 newspapers</t>
  </si>
  <si>
    <t>L'Unita; La Repubblica; Il Corriere sella Serra; Il Tempo; Il Giornale</t>
  </si>
  <si>
    <t xml:space="preserve">No formal controls. By design some control: female presidents of the champber of Deputies are compared to male heads of the Senate. </t>
  </si>
  <si>
    <t>headlines of newspaper articles</t>
  </si>
  <si>
    <t>M: 16 + 14+79+24+138+66=337; F:15+14+147+24+92+66=358. Different interpretation than authors, who state that women receive 48% of the coverage compared to men 52%</t>
  </si>
  <si>
    <t>Also: coverage based on ideological orientation of newspaper, naming popliticians (first name, last name or full name), sexist language (generic masculine, dissymetrical feminine, neutral form, and specific feminine), and typical word combinations.</t>
  </si>
  <si>
    <t>Total (absolute) number of articles in which the headline  include the name of the M/F politician. Here used: all articles including the name (thus for female politicians both the articles that only refer to the female politician and the articles that refer to both the male and female politician, and for males also males only and articles that include both male and female politicians).</t>
  </si>
  <si>
    <t>Based on own calculation, based on descriptive results in figure 4.1. Authors come to a different conclusion: they take together all 3 years and state that females receive 48% and males 52% of the coverage, while in my calculations fmelae ppoliticians receive more coverage than male politicians (if I take all 3 years together).</t>
  </si>
  <si>
    <t>Smith (2018)</t>
  </si>
  <si>
    <t>Politics and parenthood: an examination of UK party leadership elections</t>
  </si>
  <si>
    <t>Parliamentary Affairs</t>
  </si>
  <si>
    <r>
      <t xml:space="preserve">Smith, J. C. (2017). Politics and parenthood: an examination of UK party leadership elections. </t>
    </r>
    <r>
      <rPr>
        <i/>
        <sz val="11"/>
        <color indexed="8"/>
        <rFont val="Calibri"/>
        <family val="2"/>
      </rPr>
      <t>Parliamentary Affairs</t>
    </r>
    <r>
      <rPr>
        <sz val="11"/>
        <color theme="1"/>
        <rFont val="Calibri"/>
        <family val="2"/>
      </rPr>
      <t xml:space="preserve">, </t>
    </r>
    <r>
      <rPr>
        <i/>
        <sz val="11"/>
        <color indexed="8"/>
        <rFont val="Calibri"/>
        <family val="2"/>
      </rPr>
      <t>71</t>
    </r>
    <r>
      <rPr>
        <sz val="11"/>
        <color theme="1"/>
        <rFont val="Calibri"/>
        <family val="2"/>
      </rPr>
      <t>(1), 196-217.</t>
    </r>
  </si>
  <si>
    <t>Party leadership elections</t>
  </si>
  <si>
    <t>1975, 1994, 2015, 2016</t>
  </si>
  <si>
    <t>4 newspapers (unclear which ones)</t>
  </si>
  <si>
    <t>unclear</t>
  </si>
  <si>
    <t>No formal controls. By design some control: the party (primary elections)</t>
  </si>
  <si>
    <t>Mentions of candidates in articles</t>
  </si>
  <si>
    <t>Mean nr of mentions per candidate (based on mean number of mentions for each election year) F: (228+107+396+117.5)/4 = 212,1; M: (84.66+167+521.5+93.66)/4 = 216.7</t>
  </si>
  <si>
    <t>female candidtes receive more evaluative (pos and neg) statements about their family lives than the male candidates</t>
  </si>
  <si>
    <t>Mean number of mentions in newspaper articles for candidates M/F, all 4 years have the same weight</t>
  </si>
  <si>
    <t>Based on won calculations, based on results in table 1</t>
  </si>
  <si>
    <t>Besco, Gerrits, &amp; Matthews (2016)</t>
  </si>
  <si>
    <t>Besco et al. (2016)</t>
  </si>
  <si>
    <t>White Millionaires and Hockey Skates: Racialized and Gendered Mediation in News Coverage of a Canadian Mayoral Election</t>
  </si>
  <si>
    <t>International Journal of Communication</t>
  </si>
  <si>
    <r>
      <t xml:space="preserve">Besco, R., Gerrits, B., &amp; Matthews, J. S. (2016). White Millionaires and Hockey Skates: Racialized and Gendered Mediation in News Coverage of a Canadian Mayoral Election. </t>
    </r>
    <r>
      <rPr>
        <i/>
        <sz val="11"/>
        <color indexed="8"/>
        <rFont val="Calibri"/>
        <family val="2"/>
      </rPr>
      <t>International Journal of Communication</t>
    </r>
    <r>
      <rPr>
        <sz val="11"/>
        <color theme="1"/>
        <rFont val="Calibri"/>
        <family val="2"/>
      </rPr>
      <t xml:space="preserve">, </t>
    </r>
    <r>
      <rPr>
        <i/>
        <sz val="11"/>
        <color indexed="8"/>
        <rFont val="Calibri"/>
        <family val="2"/>
      </rPr>
      <t>10</t>
    </r>
    <r>
      <rPr>
        <sz val="11"/>
        <color theme="1"/>
        <rFont val="Calibri"/>
        <family val="2"/>
      </rPr>
      <t>, 20.</t>
    </r>
  </si>
  <si>
    <t>Toronto Star and Toronto Sun</t>
  </si>
  <si>
    <t>No formal controls</t>
  </si>
  <si>
    <t>random sample of 325 newspaper articles (out of population of 948 articles) that mention the candiate as running for the mayoral office or the mayoral election)</t>
  </si>
  <si>
    <t>newspaper articles</t>
  </si>
  <si>
    <t>M: mean prominance of 1.60; F: mean prominence of 1.21. Prominance = "To measure a candidate’s prominence, we primarily use an additive scale that combines six indicators that capture whether the candidate was named in the story, was named first, was named more than three times, was quoted in more than 10 words, appeared in a photo alongside the story, and was named in the headline of the article. The result is a variable that ranges from 0 to 6."</t>
  </si>
  <si>
    <t>We find little evidence of gender- or race-based intercandidate difference in the amount of personalized coverage candidates received'. Only exception in Ford, but he is an outlier and the author claim that this is because of special circumstances. They do no interpret the results as a gender difference in personal coverage (including family, appearance and background). "To measure media attention to the candidates’ private lives, we rely on a 6-point scale. The measure sums six binary indicators that track mentions of each candidate’s age, appearance, children or childlessness, sex/gender (e.g., male, woman, son of), upbringing (e.g., childhood, parents), and sexuality or sexual characteristics."</t>
  </si>
  <si>
    <t>Also: differences in prominance and coverage of private lives based on racial differences</t>
  </si>
  <si>
    <t>Prominence = "To measure a candidate’s prominence, we primarily use an additive scale that combines six indicators that capture whether the candidate was named in the story, was named first, was named more than three times, was quoted in more than 10 words, appeared in a photo alongside the story, and was named in the headline of the article. The result is a variable that ranges from 0 to 6."</t>
  </si>
  <si>
    <t xml:space="preserve">M: mean prominance of 1.60; F: mean prominence of 1.21. </t>
  </si>
  <si>
    <t>Based on results in figure 2. Avarage prominence measured for the 2 women and the 3 men in the race</t>
  </si>
  <si>
    <t>2. Women more viability coverage, mixed significance</t>
  </si>
  <si>
    <t>2. Men considered more viable, mixed significance</t>
  </si>
  <si>
    <t>2. Women more background coverage, mixed significance</t>
  </si>
  <si>
    <t>2. Men more issue coverage, mixed significance</t>
  </si>
  <si>
    <t>2. Men more on male traits, men more on female traits, significant</t>
  </si>
  <si>
    <t>2. Men more leadership coverage, mixed significance</t>
  </si>
  <si>
    <t>4. Women more on male issues, men more on female issues, significant</t>
  </si>
  <si>
    <t>4. Women more on male traits, men more on female traits, significant</t>
  </si>
  <si>
    <t>5. Other</t>
  </si>
  <si>
    <t>5. Men more on male traits, women more on female traits, mixed significance</t>
  </si>
  <si>
    <t>5. Women more leadership, unknown significance</t>
  </si>
  <si>
    <t>5. Men quoted less often, unknown significance</t>
  </si>
  <si>
    <t>6. Other</t>
  </si>
  <si>
    <t>6. Women considered more viable, mixed significance</t>
  </si>
  <si>
    <t>6. Men more appearance, mixed significance</t>
  </si>
  <si>
    <t>6. Men more trait coverage, mixed significance</t>
  </si>
  <si>
    <t>6. Men more on male traits, men more on female traits, mixed significance</t>
  </si>
  <si>
    <t>6. Women more leadership, mixed significance</t>
  </si>
  <si>
    <t>6. Men more mention of their gender, mixed significance</t>
  </si>
  <si>
    <t>6. Men quoted less often, mixed significance</t>
  </si>
  <si>
    <t>7. Men more viability coverage, significant</t>
  </si>
  <si>
    <t>7. Men more family coverage, significant</t>
  </si>
  <si>
    <t>7. Men more appearance coverage, significant</t>
  </si>
  <si>
    <t>7. Men more background coverage, significant</t>
  </si>
  <si>
    <t>7. Men more trait coverage, significant</t>
  </si>
  <si>
    <t>7. Women more on male issues, women more on female issues, mixed significance</t>
  </si>
  <si>
    <t>7. Women more leadership coverage, significant</t>
  </si>
  <si>
    <t>7. Men more mention of their gender, significant</t>
  </si>
  <si>
    <t>8. Women more on male traits, men more on female traits, mixed significance</t>
  </si>
  <si>
    <t>10. Men more on male issues, men more on female issues, unknown significance</t>
  </si>
  <si>
    <t>10. Men more on male traits, men more on female traits, unknown significance</t>
  </si>
  <si>
    <t>12. Women more on male issues, men more on female issues, unknown significance</t>
  </si>
  <si>
    <t>12. Women more on male traits, men more on female traits, unknown significance</t>
  </si>
  <si>
    <t>robustalt_constant</t>
  </si>
  <si>
    <t>robust_constant</t>
  </si>
  <si>
    <t>control_mediaposition</t>
  </si>
  <si>
    <t>control_mediatype</t>
  </si>
  <si>
    <t>Media type (e.g., broadsheet, tabloid)</t>
  </si>
  <si>
    <t>Media outlet endorsement, media ownership, political 'position' of media outlet</t>
  </si>
  <si>
    <t>Size of the media outlet (circulation, viewership)</t>
  </si>
  <si>
    <t>control_mediasize</t>
  </si>
  <si>
    <t>control_genderjournalist</t>
  </si>
  <si>
    <t>Gender of the journalist</t>
  </si>
  <si>
    <t>controlalt_mediaposition</t>
  </si>
  <si>
    <t>controlalt_mediatype</t>
  </si>
  <si>
    <t>controlalt_mediasize</t>
  </si>
  <si>
    <t>controlalt_genderjournalist</t>
  </si>
  <si>
    <t>controlalt_race</t>
  </si>
  <si>
    <t>Unnatural, Incompetent, and Unviable: Press Portrayals of Women Candidates for President.</t>
  </si>
  <si>
    <t>When women run for office: Press coverage of Hillary Clinton during the 2016 presidential campaign</t>
  </si>
  <si>
    <t>PR List PR 1  630 630 Not applicable (Electoral System Family  | Electoral System for National Legislature | Number of tiers | Legislative size (directly elected) | Legislative size (Voting members) | Electoral system for the president | Source: www.idea.int )</t>
  </si>
  <si>
    <t>1992: PR  List PR  1  630  630 Not applicable; 1994: 1994 Mixed MMP 2 630 630 Not applicable; 2013: PR List PR 1 630 630 Not applicable (Electoral System Family  | Electoral System for National Legislature | Number of tiers | Legislative size (directly elected) | Legislative size (Voting members) | Electoral system for the president | Source: www.idea.int )</t>
  </si>
  <si>
    <t>PR List PR 2 169 169 Not applicable  (Electoral System Family  | Electoral System for National Legislature | Number of tiers | Legislative size (directly elected) | Legislative size (Voting members) | Electoral system for the president | Source: www.idea.int )</t>
  </si>
  <si>
    <t>1996, 2004, 2011</t>
  </si>
  <si>
    <t>Percent of articles mentioning male or female parliamentary candidate. The CFWD (2010) report cited in the article indicates that there  877 out of 4,134 parliamentary candidates were female, this can be used to calculate the mean articles per person. This coincides with the 21% female candidates mentioned by the authors in the articles (page 9).</t>
  </si>
  <si>
    <t>650-4134 (any article that mentioned any candidate as a candidate were selected, there were 4,134 candidates. Arguably, the number of MPs (650) could also be used)</t>
  </si>
  <si>
    <t>598-1500 (extremely rough estimate, any political actor is coded, number of political actors in Germany is unclear, there were 598 seats in the Bundestag)</t>
  </si>
  <si>
    <t>Presidential primary (Republican)</t>
  </si>
  <si>
    <t>officeneat</t>
  </si>
  <si>
    <t>Presidential nominee</t>
  </si>
  <si>
    <t>Mayor</t>
  </si>
  <si>
    <t>Vice-president</t>
  </si>
  <si>
    <t>Senator</t>
  </si>
  <si>
    <t>Senator, governor</t>
  </si>
  <si>
    <t>MEP</t>
  </si>
  <si>
    <t>House Representative/Senator</t>
  </si>
  <si>
    <t>Senator and governor (primary)</t>
  </si>
  <si>
    <t>Senator and governor (primary and general)</t>
  </si>
  <si>
    <t>Head of government</t>
  </si>
  <si>
    <t>Party leader</t>
  </si>
  <si>
    <t>MP</t>
  </si>
  <si>
    <t>MP, minister, party leader</t>
  </si>
  <si>
    <t>Party leader, MP</t>
  </si>
  <si>
    <t>Party leader (primary)</t>
  </si>
  <si>
    <t>Municipal elections (for councillors, not mayoral candidates)</t>
  </si>
  <si>
    <t>Municipal councillor</t>
  </si>
  <si>
    <t>House representative</t>
  </si>
  <si>
    <t>House Representative (state level)</t>
  </si>
  <si>
    <t>Minister</t>
  </si>
  <si>
    <t>MP, party leader</t>
  </si>
  <si>
    <t>Politician (any)</t>
  </si>
  <si>
    <t>President of the Houses of Parliament</t>
  </si>
  <si>
    <t>MP (provincial)</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</si>
</sst>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00"/>
    <numFmt numFmtId="171" formatCode="0.00000"/>
    <numFmt numFmtId="172" formatCode="0.0000"/>
  </numFmts>
  <fonts count="43">
    <font>
      <sz val="11"/>
      <color theme="1"/>
      <name val="Calibri"/>
      <family val="2"/>
    </font>
    <font>
      <sz val="11"/>
      <color indexed="8"/>
      <name val="Calibri"/>
      <family val="2"/>
    </font>
    <font>
      <b/>
      <sz val="11"/>
      <color indexed="8"/>
      <name val="Calibri"/>
      <family val="2"/>
    </font>
    <font>
      <i/>
      <sz val="11"/>
      <color indexed="8"/>
      <name val="Calibri"/>
      <family val="2"/>
    </font>
    <font>
      <u val="single"/>
      <sz val="11"/>
      <color indexed="8"/>
      <name val="Calibri"/>
      <family val="2"/>
    </font>
    <font>
      <sz val="11"/>
      <color indexed="20"/>
      <name val="Calibri"/>
      <family val="2"/>
    </font>
    <font>
      <u val="single"/>
      <sz val="11"/>
      <color indexed="20"/>
      <name val="Calibri"/>
      <family val="2"/>
    </font>
    <font>
      <sz val="11"/>
      <color indexed="56"/>
      <name val="Calibri"/>
      <family val="2"/>
    </font>
    <font>
      <i/>
      <sz val="11"/>
      <color indexed="56"/>
      <name val="Calibri"/>
      <family val="2"/>
    </font>
    <font>
      <i/>
      <sz val="8"/>
      <color indexed="56"/>
      <name val="Arial"/>
      <family val="2"/>
    </font>
    <font>
      <sz val="8"/>
      <color indexed="56"/>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3"/>
      <name val="Calibri"/>
      <family val="2"/>
    </font>
    <font>
      <sz val="11"/>
      <color theme="4" tint="-0.2499700039625167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80">
    <xf numFmtId="0" fontId="0" fillId="0" borderId="0" xfId="0" applyFont="1" applyAlignment="1">
      <alignment/>
    </xf>
    <xf numFmtId="0" fontId="0" fillId="0" borderId="0" xfId="0" applyAlignment="1">
      <alignment horizontal="left" vertical="top"/>
    </xf>
    <xf numFmtId="49" fontId="0" fillId="0" borderId="0" xfId="0" applyNumberFormat="1" applyAlignment="1">
      <alignment horizontal="left" vertical="top"/>
    </xf>
    <xf numFmtId="49" fontId="0" fillId="0" borderId="0" xfId="0" applyNumberFormat="1" applyAlignment="1" quotePrefix="1">
      <alignment horizontal="left" vertical="top"/>
    </xf>
    <xf numFmtId="0" fontId="0" fillId="0" borderId="0" xfId="0" applyAlignment="1">
      <alignment vertical="top"/>
    </xf>
    <xf numFmtId="2" fontId="0" fillId="0" borderId="0" xfId="0" applyNumberFormat="1" applyAlignment="1">
      <alignment horizontal="left" vertical="top"/>
    </xf>
    <xf numFmtId="164" fontId="0" fillId="0" borderId="0" xfId="0" applyNumberFormat="1" applyAlignment="1">
      <alignment horizontal="left" vertical="top"/>
    </xf>
    <xf numFmtId="0" fontId="0" fillId="0" borderId="0" xfId="0" applyAlignment="1" quotePrefix="1">
      <alignment horizontal="left" vertical="top"/>
    </xf>
    <xf numFmtId="2" fontId="0" fillId="0" borderId="0" xfId="0" applyNumberFormat="1" applyAlignment="1">
      <alignment vertical="top"/>
    </xf>
    <xf numFmtId="0" fontId="0" fillId="0" borderId="10" xfId="0" applyBorder="1" applyAlignment="1">
      <alignment/>
    </xf>
    <xf numFmtId="0" fontId="0" fillId="0" borderId="0" xfId="0" applyAlignment="1">
      <alignment horizontal="left"/>
    </xf>
    <xf numFmtId="0" fontId="0" fillId="0" borderId="10" xfId="0" applyBorder="1" applyAlignment="1">
      <alignment horizontal="left" vertical="top"/>
    </xf>
    <xf numFmtId="0" fontId="0" fillId="0" borderId="0" xfId="0" applyAlignment="1">
      <alignment wrapText="1"/>
    </xf>
    <xf numFmtId="49" fontId="0" fillId="0" borderId="0" xfId="0" applyNumberFormat="1" applyAlignment="1">
      <alignment horizontal="left" vertical="top" wrapText="1"/>
    </xf>
    <xf numFmtId="0" fontId="0" fillId="0" borderId="0" xfId="0" applyAlignment="1">
      <alignment horizontal="left" vertical="top" wrapText="1"/>
    </xf>
    <xf numFmtId="1" fontId="0" fillId="0" borderId="0" xfId="0" applyNumberFormat="1" applyAlignment="1">
      <alignment horizontal="left" vertical="top"/>
    </xf>
    <xf numFmtId="1" fontId="0" fillId="0" borderId="0" xfId="0" applyNumberFormat="1" applyAlignment="1">
      <alignment horizontal="left"/>
    </xf>
    <xf numFmtId="0" fontId="0" fillId="0" borderId="0" xfId="0" applyAlignment="1">
      <alignment horizontal="center"/>
    </xf>
    <xf numFmtId="0" fontId="0" fillId="0" borderId="0" xfId="0" applyAlignment="1">
      <alignment horizontal="center" vertical="top"/>
    </xf>
    <xf numFmtId="0" fontId="41" fillId="0" borderId="0" xfId="0" applyFont="1" applyAlignment="1">
      <alignment/>
    </xf>
    <xf numFmtId="0" fontId="42" fillId="0" borderId="0" xfId="0" applyFont="1" applyAlignment="1">
      <alignment/>
    </xf>
    <xf numFmtId="0" fontId="42" fillId="0" borderId="0" xfId="0" applyFont="1" applyAlignment="1">
      <alignment horizontal="left" vertical="top"/>
    </xf>
    <xf numFmtId="0" fontId="0" fillId="0" borderId="0" xfId="0" applyAlignment="1" quotePrefix="1">
      <alignment/>
    </xf>
    <xf numFmtId="49" fontId="0" fillId="0" borderId="0" xfId="0" applyNumberFormat="1" applyAlignment="1">
      <alignment/>
    </xf>
    <xf numFmtId="49" fontId="0" fillId="0" borderId="0" xfId="0" applyNumberFormat="1" applyAlignment="1" quotePrefix="1">
      <alignment/>
    </xf>
    <xf numFmtId="0" fontId="41" fillId="0" borderId="0" xfId="0" applyFont="1" applyAlignment="1">
      <alignment horizontal="left"/>
    </xf>
    <xf numFmtId="49" fontId="0" fillId="0" borderId="0" xfId="0" applyNumberFormat="1" applyBorder="1" applyAlignment="1">
      <alignment horizontal="left" vertical="top"/>
    </xf>
    <xf numFmtId="0" fontId="0" fillId="0" borderId="0" xfId="0" applyFont="1" applyAlignment="1">
      <alignment horizontal="left" vertical="top"/>
    </xf>
    <xf numFmtId="0" fontId="0" fillId="0" borderId="0" xfId="0" applyBorder="1" applyAlignment="1">
      <alignment horizontal="left" vertical="top"/>
    </xf>
    <xf numFmtId="0" fontId="0" fillId="0" borderId="0" xfId="0" applyAlignment="1">
      <alignment/>
    </xf>
    <xf numFmtId="0" fontId="0" fillId="0" borderId="0" xfId="0" applyFill="1" applyAlignment="1">
      <alignment horizontal="left" vertical="top"/>
    </xf>
    <xf numFmtId="0" fontId="41"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0" fillId="0" borderId="10" xfId="0" applyFont="1" applyBorder="1" applyAlignment="1">
      <alignment horizontal="left" vertical="top"/>
    </xf>
    <xf numFmtId="0" fontId="0" fillId="0" borderId="0" xfId="0" applyFont="1" applyAlignment="1">
      <alignment horizontal="left" vertical="top"/>
    </xf>
    <xf numFmtId="0" fontId="0" fillId="0" borderId="0" xfId="0" applyAlignment="1">
      <alignment vertical="center"/>
    </xf>
    <xf numFmtId="2" fontId="42" fillId="0" borderId="0" xfId="0" applyNumberFormat="1" applyFont="1" applyAlignment="1">
      <alignment horizontal="left" vertical="top"/>
    </xf>
    <xf numFmtId="0" fontId="0" fillId="0" borderId="0" xfId="0" applyBorder="1" applyAlignment="1">
      <alignment/>
    </xf>
    <xf numFmtId="0" fontId="0" fillId="0" borderId="0" xfId="0" applyFill="1" applyAlignment="1">
      <alignment/>
    </xf>
    <xf numFmtId="1" fontId="0" fillId="0" borderId="0" xfId="0" applyNumberFormat="1" applyFill="1" applyAlignment="1">
      <alignment horizontal="left"/>
    </xf>
    <xf numFmtId="0" fontId="41" fillId="0" borderId="0" xfId="0" applyFont="1" applyFill="1" applyAlignment="1">
      <alignment/>
    </xf>
    <xf numFmtId="0" fontId="41" fillId="0" borderId="0" xfId="0" applyFont="1" applyFill="1" applyAlignment="1">
      <alignment horizontal="left"/>
    </xf>
    <xf numFmtId="0" fontId="0" fillId="0" borderId="0" xfId="0" applyFill="1" applyAlignment="1">
      <alignment horizontal="left"/>
    </xf>
    <xf numFmtId="0" fontId="0" fillId="0" borderId="0" xfId="0" applyFill="1" applyAlignment="1">
      <alignment horizontal="center"/>
    </xf>
    <xf numFmtId="0" fontId="42" fillId="0" borderId="0" xfId="0" applyFont="1" applyFill="1" applyAlignment="1">
      <alignment horizontal="left" vertical="top"/>
    </xf>
    <xf numFmtId="49" fontId="0" fillId="0" borderId="0" xfId="0" applyNumberFormat="1" applyFill="1" applyAlignment="1">
      <alignment horizontal="left" vertical="top"/>
    </xf>
    <xf numFmtId="0" fontId="42" fillId="0" borderId="0" xfId="0" applyFont="1" applyBorder="1" applyAlignment="1">
      <alignment/>
    </xf>
    <xf numFmtId="2" fontId="0" fillId="0" borderId="0" xfId="0" applyNumberFormat="1" applyAlignment="1">
      <alignment horizontal="center" vertical="top"/>
    </xf>
    <xf numFmtId="2" fontId="0" fillId="0" borderId="0" xfId="0" applyNumberFormat="1" applyAlignment="1">
      <alignment horizontal="center"/>
    </xf>
    <xf numFmtId="2" fontId="0" fillId="0" borderId="0" xfId="0" applyNumberFormat="1" applyFill="1" applyAlignment="1">
      <alignment horizontal="center"/>
    </xf>
    <xf numFmtId="3" fontId="0" fillId="0" borderId="0" xfId="0" applyNumberFormat="1" applyAlignment="1">
      <alignment horizontal="center"/>
    </xf>
    <xf numFmtId="0" fontId="0" fillId="0" borderId="0" xfId="0" applyFill="1" applyAlignment="1">
      <alignment/>
    </xf>
    <xf numFmtId="49" fontId="0" fillId="0" borderId="0" xfId="0" applyNumberFormat="1" applyAlignment="1">
      <alignment/>
    </xf>
    <xf numFmtId="0" fontId="0" fillId="0" borderId="0" xfId="0" applyAlignment="1" quotePrefix="1">
      <alignment/>
    </xf>
    <xf numFmtId="0" fontId="0" fillId="24" borderId="0" xfId="0" applyFill="1" applyAlignment="1">
      <alignment vertical="center"/>
    </xf>
    <xf numFmtId="0" fontId="0" fillId="24" borderId="0" xfId="0" applyFont="1" applyFill="1" applyAlignment="1">
      <alignment horizontal="left" vertical="top"/>
    </xf>
    <xf numFmtId="0" fontId="0" fillId="24" borderId="0" xfId="0" applyFont="1" applyFill="1" applyBorder="1" applyAlignment="1">
      <alignment horizontal="left" vertical="top"/>
    </xf>
    <xf numFmtId="0" fontId="0" fillId="25" borderId="0" xfId="0" applyFill="1" applyAlignment="1">
      <alignment vertical="center"/>
    </xf>
    <xf numFmtId="0" fontId="0" fillId="25" borderId="0" xfId="0" applyFont="1" applyFill="1" applyBorder="1" applyAlignment="1">
      <alignment horizontal="left" vertical="top"/>
    </xf>
    <xf numFmtId="0" fontId="0" fillId="22" borderId="0" xfId="0" applyFill="1" applyAlignment="1">
      <alignment vertical="center"/>
    </xf>
    <xf numFmtId="0" fontId="0" fillId="22" borderId="0" xfId="0" applyFont="1" applyFill="1" applyBorder="1" applyAlignment="1">
      <alignment horizontal="left" vertical="top"/>
    </xf>
    <xf numFmtId="0" fontId="0" fillId="24" borderId="10" xfId="0" applyFill="1" applyBorder="1" applyAlignment="1">
      <alignment/>
    </xf>
    <xf numFmtId="0" fontId="0" fillId="22" borderId="10" xfId="0" applyFill="1" applyBorder="1" applyAlignment="1">
      <alignment/>
    </xf>
    <xf numFmtId="0" fontId="0" fillId="25" borderId="10" xfId="0" applyFill="1" applyBorder="1" applyAlignment="1">
      <alignment/>
    </xf>
    <xf numFmtId="0" fontId="0" fillId="0" borderId="10" xfId="0" applyFill="1" applyBorder="1" applyAlignment="1">
      <alignment/>
    </xf>
    <xf numFmtId="1" fontId="0" fillId="0" borderId="0" xfId="0" applyNumberFormat="1" applyAlignment="1">
      <alignment horizontal="center"/>
    </xf>
    <xf numFmtId="1" fontId="0" fillId="0" borderId="0" xfId="0" applyNumberFormat="1" applyFill="1" applyAlignment="1">
      <alignment horizontal="center"/>
    </xf>
    <xf numFmtId="0" fontId="0" fillId="33" borderId="0" xfId="0" applyFill="1" applyAlignment="1">
      <alignment horizontal="left" vertical="top"/>
    </xf>
    <xf numFmtId="0" fontId="0" fillId="33" borderId="0" xfId="0" applyFill="1" applyAlignment="1" quotePrefix="1">
      <alignment horizontal="left" vertical="top"/>
    </xf>
    <xf numFmtId="2" fontId="0" fillId="0" borderId="0" xfId="0" applyNumberFormat="1" applyAlignment="1">
      <alignment/>
    </xf>
    <xf numFmtId="2" fontId="0" fillId="0" borderId="0" xfId="0" applyNumberFormat="1" applyFill="1" applyAlignment="1">
      <alignment/>
    </xf>
    <xf numFmtId="49" fontId="0" fillId="0" borderId="0" xfId="0" applyNumberFormat="1" applyFill="1" applyAlignment="1">
      <alignment/>
    </xf>
    <xf numFmtId="0" fontId="0" fillId="0" borderId="0" xfId="0" applyFill="1" applyAlignment="1">
      <alignment wrapText="1"/>
    </xf>
    <xf numFmtId="2" fontId="0" fillId="0" borderId="0" xfId="0" applyNumberFormat="1" applyAlignment="1">
      <alignment horizontal="center" wrapText="1"/>
    </xf>
    <xf numFmtId="165" fontId="0" fillId="0" borderId="0" xfId="0" applyNumberFormat="1" applyAlignment="1">
      <alignment horizontal="center" wrapText="1"/>
    </xf>
    <xf numFmtId="2" fontId="0" fillId="0" borderId="0" xfId="0" applyNumberFormat="1" applyAlignment="1" quotePrefix="1">
      <alignment vertical="top" wrapText="1"/>
    </xf>
    <xf numFmtId="0" fontId="0" fillId="0" borderId="0" xfId="0" applyFill="1" applyAlignment="1" quotePrefix="1">
      <alignment horizontal="left" vertical="top"/>
    </xf>
    <xf numFmtId="2" fontId="0" fillId="0" borderId="0" xfId="0" applyNumberFormat="1" applyAlignment="1">
      <alignment horizontal="left"/>
    </xf>
    <xf numFmtId="0" fontId="0" fillId="0" borderId="0" xfId="0" applyFill="1" applyAlignment="1">
      <alignment horizontal="center"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3:EQ93" comment="" totalsRowShown="0">
  <autoFilter ref="A3:EQ93"/>
  <tableColumns count="147">
    <tableColumn id="61" name="coder"/>
    <tableColumn id="89" name="order"/>
    <tableColumn id="4" name="id"/>
    <tableColumn id="5" name="year"/>
    <tableColumn id="6" name="authors"/>
    <tableColumn id="18" name="authorsshort"/>
    <tableColumn id="7" name="authorsfemale"/>
    <tableColumn id="8" name="authorsnumber"/>
    <tableColumn id="9" name="authorsfirstfemale"/>
    <tableColumn id="10" name="title"/>
    <tableColumn id="11" name="outlet"/>
    <tableColumn id="12" name="outlettype"/>
    <tableColumn id="13" name="reference"/>
    <tableColumn id="47" name="citations"/>
    <tableColumn id="14" name="country"/>
    <tableColumn id="15" name="region"/>
    <tableColumn id="16" name="office"/>
    <tableColumn id="2" name="officeneat"/>
    <tableColumn id="17" name="officetype"/>
    <tableColumn id="91" name="officelevel"/>
    <tableColumn id="19" name="electiontype"/>
    <tableColumn id="20" name="electoralsystem"/>
    <tableColumn id="21" name="electoralsystemtype"/>
    <tableColumn id="3" name="disproportionality"/>
    <tableColumn id="1" name="numberofparties_enep"/>
    <tableColumn id="31" name="numberofparties_enpp"/>
    <tableColumn id="44" name="numberofseats"/>
    <tableColumn id="22" name="time"/>
    <tableColumn id="23" name="begintime"/>
    <tableColumn id="24" name="endtime"/>
    <tableColumn id="92" name="femalerepresentation"/>
    <tableColumn id="25" name="campaign"/>
    <tableColumn id="26" name="method"/>
    <tableColumn id="27" name="medium"/>
    <tableColumn id="28" name="mediumtype"/>
    <tableColumn id="29" name="newspaper"/>
    <tableColumn id="30" name="newspapertype"/>
    <tableColumn id="32" name="controls"/>
    <tableColumn id="33" name="controltype"/>
    <tableColumn id="90" name="namefemale"/>
    <tableColumn id="34" name="n_countries"/>
    <tableColumn id="35" name="n_races"/>
    <tableColumn id="36" name="n_candidates"/>
    <tableColumn id="37" name="n_femalecandidates"/>
    <tableColumn id="38" name="n_outlets"/>
    <tableColumn id="39" name="n_stories"/>
    <tableColumn id="40" name="n_codedunits"/>
    <tableColumn id="41" name="n_analysis"/>
    <tableColumn id="42" name="codedunitsnote"/>
    <tableColumn id="43" name="analyzedunitsnote"/>
    <tableColumn id="45" name="r_visibility"/>
    <tableColumn id="46" name="visibilitynote"/>
    <tableColumn id="74" name="r_tone"/>
    <tableColumn id="48" name="tonenote"/>
    <tableColumn id="73" name="r_viability"/>
    <tableColumn id="50" name="viabilitynote"/>
    <tableColumn id="95" name="r_viabilityassessment"/>
    <tableColumn id="54" name="viabilityassessmentnote"/>
    <tableColumn id="96" name="r_family"/>
    <tableColumn id="56" name="familynote"/>
    <tableColumn id="97" name="r_appearance"/>
    <tableColumn id="58" name="appearancenote"/>
    <tableColumn id="98" name="r_background"/>
    <tableColumn id="88" name="backgroundnote"/>
    <tableColumn id="99" name="r_traitamount"/>
    <tableColumn id="51" name="traitamountnote"/>
    <tableColumn id="100" name="r_issueamount"/>
    <tableColumn id="62" name="issueamountnote"/>
    <tableColumn id="55" name="r_issuestereotypes"/>
    <tableColumn id="64" name="issuestereotypesnote"/>
    <tableColumn id="57" name="r_traitsstereotypes"/>
    <tableColumn id="66" name="traitsstereotypesnote"/>
    <tableColumn id="103" name="r_traitsleadership"/>
    <tableColumn id="68" name="traitsleadershipnote"/>
    <tableColumn id="104" name="r_mentiongender"/>
    <tableColumn id="70" name="mentiongendernote"/>
    <tableColumn id="105" name="r_quote"/>
    <tableColumn id="94" name="quotenote"/>
    <tableColumn id="71" name="addaspect"/>
    <tableColumn id="75" name="vis_measure"/>
    <tableColumn id="76" name="vis_results"/>
    <tableColumn id="77" name="vis_meanmen"/>
    <tableColumn id="78" name="vis_meanwomen"/>
    <tableColumn id="86" name="vis_share"/>
    <tableColumn id="59" name="vis_d"/>
    <tableColumn id="87" name="vis_note"/>
    <tableColumn id="49" name="robust_constant"/>
    <tableColumn id="52" name="robust_calculation"/>
    <tableColumn id="53" name="robust_reconstruction"/>
    <tableColumn id="85" name="control_race"/>
    <tableColumn id="93" name="control_proximityelection"/>
    <tableColumn id="101" name="control_electoralsystem"/>
    <tableColumn id="102" name="control_typeofoffice"/>
    <tableColumn id="106" name="control_period"/>
    <tableColumn id="107" name="control_region"/>
    <tableColumn id="108" name="control_femalerepresentation"/>
    <tableColumn id="60" name="control_ownmessage"/>
    <tableColumn id="109" name="control_cometitiveness"/>
    <tableColumn id="110" name="control_incumbency"/>
    <tableColumn id="111" name="control_fundraising"/>
    <tableColumn id="112" name="control_party"/>
    <tableColumn id="113" name="control_partysize"/>
    <tableColumn id="79" name="control_powerposition"/>
    <tableColumn id="80" name="control_listposition"/>
    <tableColumn id="81" name="control_experience"/>
    <tableColumn id="82" name="control_age"/>
    <tableColumn id="83" name="control_activity"/>
    <tableColumn id="84" name="control_novelty"/>
    <tableColumn id="67" name="control_genderopponent"/>
    <tableColumn id="69" name="control_mediaposition"/>
    <tableColumn id="72" name="control_mediatype"/>
    <tableColumn id="63" name="control_mediasize"/>
    <tableColumn id="65" name="control_genderjournalist"/>
    <tableColumn id="114" name="visalt_measure"/>
    <tableColumn id="115" name="visalt_results"/>
    <tableColumn id="143" name="visalt_meanmen"/>
    <tableColumn id="144" name="visalt_meanwomen"/>
    <tableColumn id="116" name="visalt_share"/>
    <tableColumn id="117" name="visalt_d"/>
    <tableColumn id="145" name="visalt_note"/>
    <tableColumn id="146" name="robustalt_constant"/>
    <tableColumn id="147" name="robustalt_calculation"/>
    <tableColumn id="148" name="robustalt_reconstruction"/>
    <tableColumn id="150" name="controlalt_race"/>
    <tableColumn id="119" name="controlalt_proximityelection"/>
    <tableColumn id="120" name="controlalt_electoralsystem"/>
    <tableColumn id="121" name="controlalt_typeofoffice"/>
    <tableColumn id="122" name="controlalt_period"/>
    <tableColumn id="123" name="controlalt_region"/>
    <tableColumn id="124" name="controlalt_femalerepresentation"/>
    <tableColumn id="125" name="controlalt_ownmessage"/>
    <tableColumn id="126" name="controlalt_cometitiveness"/>
    <tableColumn id="127" name="controlalt_incumbency"/>
    <tableColumn id="128" name="controlalt_fundraising"/>
    <tableColumn id="129" name="controlalt_party"/>
    <tableColumn id="130" name="controlalt_partysize"/>
    <tableColumn id="131" name="controlalt_powerposition"/>
    <tableColumn id="132" name="controlalt_listposition"/>
    <tableColumn id="133" name="controlalt_experience"/>
    <tableColumn id="134" name="controlalt_age"/>
    <tableColumn id="135" name="controlalt_activity"/>
    <tableColumn id="136" name="controlalt_novelty"/>
    <tableColumn id="137" name="controlalt_genderopponent"/>
    <tableColumn id="138" name="controlalt_mediaposition"/>
    <tableColumn id="139" name="controlalt_mediatype"/>
    <tableColumn id="140" name="controlalt_mediasize"/>
    <tableColumn id="141" name="controlalt_genderjournalist"/>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V96"/>
  <sheetViews>
    <sheetView tabSelected="1" zoomScalePageLayoutView="0" workbookViewId="0" topLeftCell="A1">
      <pane ySplit="3" topLeftCell="A4" activePane="bottomLeft" state="frozen"/>
      <selection pane="topLeft" activeCell="A1" sqref="A1"/>
      <selection pane="bottomLeft" activeCell="G91" sqref="G91:I93"/>
    </sheetView>
  </sheetViews>
  <sheetFormatPr defaultColWidth="9.140625" defaultRowHeight="15" customHeight="1"/>
  <cols>
    <col min="1" max="1" width="10.7109375" style="10" customWidth="1"/>
    <col min="2" max="2" width="5.421875" style="0" customWidth="1"/>
    <col min="3" max="3" width="5.7109375" style="0" customWidth="1"/>
    <col min="4" max="4" width="4.7109375" style="0" customWidth="1"/>
    <col min="5" max="5" width="19.28125" style="0" customWidth="1"/>
    <col min="6" max="6" width="5.7109375" style="0" customWidth="1"/>
    <col min="7" max="9" width="3.8515625" style="0" customWidth="1"/>
    <col min="10" max="10" width="13.8515625" style="0" customWidth="1"/>
    <col min="11" max="12" width="5.8515625" style="0" customWidth="1"/>
    <col min="13" max="13" width="33.57421875" style="0" customWidth="1"/>
    <col min="14" max="14" width="5.8515625" style="0" customWidth="1"/>
    <col min="15" max="15" width="11.140625" style="0" customWidth="1"/>
    <col min="16" max="18" width="12.140625" style="0" customWidth="1"/>
    <col min="19" max="19" width="16.7109375" style="0" customWidth="1"/>
    <col min="20" max="20" width="10.8515625" style="0" customWidth="1"/>
    <col min="21" max="21" width="14.57421875" style="0" customWidth="1"/>
    <col min="22" max="22" width="11.421875" style="0" customWidth="1"/>
    <col min="23" max="23" width="14.7109375" style="0" customWidth="1"/>
    <col min="24" max="24" width="9.28125" style="0" customWidth="1"/>
    <col min="25" max="25" width="8.8515625" style="0" customWidth="1"/>
    <col min="26" max="26" width="5.28125" style="0" customWidth="1"/>
    <col min="27" max="27" width="7.7109375" style="0" customWidth="1"/>
    <col min="28" max="30" width="10.140625" style="0" customWidth="1"/>
    <col min="31" max="31" width="11.28125" style="0" customWidth="1"/>
    <col min="32" max="39" width="13.00390625" style="0" customWidth="1"/>
    <col min="40" max="40" width="13.00390625" style="10" customWidth="1"/>
    <col min="41" max="44" width="11.57421875" style="0" customWidth="1"/>
    <col min="45" max="45" width="9.140625" style="0" customWidth="1"/>
    <col min="46" max="48" width="11.57421875" style="0" customWidth="1"/>
    <col min="49" max="68" width="12.421875" style="0" customWidth="1"/>
    <col min="69" max="69" width="13.28125" style="0" customWidth="1"/>
    <col min="70" max="79" width="12.421875" style="0" customWidth="1"/>
    <col min="80" max="80" width="32.421875" style="0" customWidth="1"/>
    <col min="81" max="81" width="39.57421875" style="0" customWidth="1"/>
    <col min="82" max="82" width="9.7109375" style="0" customWidth="1"/>
    <col min="83" max="83" width="7.8515625" style="10" customWidth="1"/>
    <col min="84" max="84" width="9.7109375" style="10" customWidth="1"/>
    <col min="85" max="85" width="6.57421875" style="0" customWidth="1"/>
    <col min="86" max="86" width="8.00390625" style="0" customWidth="1"/>
    <col min="87" max="89" width="5.140625" style="0" customWidth="1"/>
    <col min="90" max="113" width="5.8515625" style="0" customWidth="1"/>
    <col min="114" max="114" width="27.8515625" style="0" customWidth="1"/>
    <col min="115" max="115" width="18.00390625" style="0" customWidth="1"/>
    <col min="116" max="116" width="8.57421875" style="0" customWidth="1"/>
    <col min="117" max="117" width="8.421875" style="0" customWidth="1"/>
    <col min="118" max="118" width="7.8515625" style="10" customWidth="1"/>
    <col min="119" max="119" width="9.7109375" style="0" customWidth="1"/>
    <col min="120" max="120" width="8.00390625" style="0" customWidth="1"/>
    <col min="121" max="124" width="5.140625" style="0" customWidth="1"/>
    <col min="125" max="147" width="5.8515625" style="0" customWidth="1"/>
    <col min="149" max="149" width="5.8515625" style="0" customWidth="1"/>
    <col min="150" max="150" width="7.28125" style="0" customWidth="1"/>
    <col min="151" max="153" width="9.140625" style="0" customWidth="1"/>
  </cols>
  <sheetData>
    <row r="1" spans="1:147" ht="15" customHeight="1">
      <c r="A1" t="s">
        <v>0</v>
      </c>
      <c r="B1" t="s">
        <v>1</v>
      </c>
      <c r="C1" t="s">
        <v>1</v>
      </c>
      <c r="D1" t="s">
        <v>1</v>
      </c>
      <c r="E1" t="s">
        <v>2</v>
      </c>
      <c r="F1" t="s">
        <v>2</v>
      </c>
      <c r="G1" t="s">
        <v>1</v>
      </c>
      <c r="H1" t="s">
        <v>1</v>
      </c>
      <c r="I1" t="s">
        <v>3</v>
      </c>
      <c r="J1" t="s">
        <v>2</v>
      </c>
      <c r="K1" t="s">
        <v>2</v>
      </c>
      <c r="L1" t="s">
        <v>0</v>
      </c>
      <c r="M1" t="s">
        <v>2</v>
      </c>
      <c r="N1" t="s">
        <v>1</v>
      </c>
      <c r="O1" t="s">
        <v>2</v>
      </c>
      <c r="P1" t="s">
        <v>0</v>
      </c>
      <c r="Q1" t="s">
        <v>2</v>
      </c>
      <c r="R1" t="s">
        <v>2</v>
      </c>
      <c r="S1" t="s">
        <v>0</v>
      </c>
      <c r="T1" t="s">
        <v>0</v>
      </c>
      <c r="U1" t="s">
        <v>0</v>
      </c>
      <c r="V1" t="s">
        <v>2</v>
      </c>
      <c r="W1" t="s">
        <v>0</v>
      </c>
      <c r="X1" t="s">
        <v>4</v>
      </c>
      <c r="Y1" t="s">
        <v>4</v>
      </c>
      <c r="Z1" t="s">
        <v>4</v>
      </c>
      <c r="AA1" t="s">
        <v>4</v>
      </c>
      <c r="AB1" t="s">
        <v>2</v>
      </c>
      <c r="AC1" t="s">
        <v>1</v>
      </c>
      <c r="AD1" t="s">
        <v>1</v>
      </c>
      <c r="AE1" t="s">
        <v>5</v>
      </c>
      <c r="AF1" t="s">
        <v>0</v>
      </c>
      <c r="AG1" t="s">
        <v>0</v>
      </c>
      <c r="AH1" t="s">
        <v>2</v>
      </c>
      <c r="AI1" t="s">
        <v>0</v>
      </c>
      <c r="AJ1" t="s">
        <v>2</v>
      </c>
      <c r="AK1" t="s">
        <v>0</v>
      </c>
      <c r="AL1" t="s">
        <v>2</v>
      </c>
      <c r="AM1" t="s">
        <v>0</v>
      </c>
      <c r="AN1" s="10" t="s">
        <v>2</v>
      </c>
      <c r="AO1" t="s">
        <v>1</v>
      </c>
      <c r="AP1" t="s">
        <v>1</v>
      </c>
      <c r="AQ1" t="s">
        <v>1</v>
      </c>
      <c r="AR1" t="s">
        <v>1</v>
      </c>
      <c r="AS1" t="s">
        <v>1</v>
      </c>
      <c r="AT1" t="s">
        <v>1</v>
      </c>
      <c r="AU1" t="s">
        <v>1</v>
      </c>
      <c r="AV1" t="s">
        <v>1</v>
      </c>
      <c r="AW1" t="s">
        <v>2</v>
      </c>
      <c r="AX1" t="s">
        <v>2</v>
      </c>
      <c r="AY1" t="s">
        <v>0</v>
      </c>
      <c r="AZ1" t="s">
        <v>2</v>
      </c>
      <c r="BA1" t="s">
        <v>0</v>
      </c>
      <c r="BB1" t="s">
        <v>2</v>
      </c>
      <c r="BC1" t="s">
        <v>0</v>
      </c>
      <c r="BD1" t="s">
        <v>2</v>
      </c>
      <c r="BE1" t="s">
        <v>0</v>
      </c>
      <c r="BF1" t="s">
        <v>2</v>
      </c>
      <c r="BG1" t="s">
        <v>0</v>
      </c>
      <c r="BH1" t="s">
        <v>2</v>
      </c>
      <c r="BI1" t="s">
        <v>0</v>
      </c>
      <c r="BJ1" t="s">
        <v>2</v>
      </c>
      <c r="BK1" t="s">
        <v>0</v>
      </c>
      <c r="BL1" t="s">
        <v>2</v>
      </c>
      <c r="BM1" t="s">
        <v>0</v>
      </c>
      <c r="BN1" t="s">
        <v>2</v>
      </c>
      <c r="BO1" t="s">
        <v>0</v>
      </c>
      <c r="BP1" t="s">
        <v>2</v>
      </c>
      <c r="BQ1" t="s">
        <v>0</v>
      </c>
      <c r="BR1" t="s">
        <v>2</v>
      </c>
      <c r="BS1" t="s">
        <v>0</v>
      </c>
      <c r="BT1" t="s">
        <v>2</v>
      </c>
      <c r="BU1" t="s">
        <v>0</v>
      </c>
      <c r="BV1" t="s">
        <v>2</v>
      </c>
      <c r="BW1" t="s">
        <v>0</v>
      </c>
      <c r="BX1" t="s">
        <v>2</v>
      </c>
      <c r="BY1" t="s">
        <v>0</v>
      </c>
      <c r="BZ1" t="s">
        <v>2</v>
      </c>
      <c r="CA1" t="s">
        <v>2</v>
      </c>
      <c r="CB1" s="32" t="s">
        <v>2</v>
      </c>
      <c r="CC1" s="32" t="s">
        <v>2</v>
      </c>
      <c r="CD1" s="33" t="s">
        <v>1</v>
      </c>
      <c r="CE1" s="33" t="s">
        <v>1</v>
      </c>
      <c r="CF1" s="32" t="s">
        <v>1</v>
      </c>
      <c r="CG1" s="32" t="s">
        <v>1</v>
      </c>
      <c r="CH1" s="32" t="s">
        <v>2</v>
      </c>
      <c r="CI1" s="36" t="s">
        <v>3</v>
      </c>
      <c r="CJ1" s="36" t="s">
        <v>3</v>
      </c>
      <c r="CK1" s="36" t="s">
        <v>3</v>
      </c>
      <c r="CL1" s="55" t="s">
        <v>0</v>
      </c>
      <c r="CM1" s="55" t="s">
        <v>0</v>
      </c>
      <c r="CN1" s="55" t="s">
        <v>0</v>
      </c>
      <c r="CO1" s="55" t="s">
        <v>0</v>
      </c>
      <c r="CP1" s="55" t="s">
        <v>0</v>
      </c>
      <c r="CQ1" s="55" t="s">
        <v>0</v>
      </c>
      <c r="CR1" s="55" t="s">
        <v>0</v>
      </c>
      <c r="CS1" s="58" t="s">
        <v>0</v>
      </c>
      <c r="CT1" s="58" t="s">
        <v>0</v>
      </c>
      <c r="CU1" s="58" t="s">
        <v>0</v>
      </c>
      <c r="CV1" s="58" t="s">
        <v>0</v>
      </c>
      <c r="CW1" s="58" t="s">
        <v>0</v>
      </c>
      <c r="CX1" s="58" t="s">
        <v>0</v>
      </c>
      <c r="CY1" s="58" t="s">
        <v>0</v>
      </c>
      <c r="CZ1" s="58" t="s">
        <v>0</v>
      </c>
      <c r="DA1" s="58" t="s">
        <v>0</v>
      </c>
      <c r="DB1" s="58" t="s">
        <v>0</v>
      </c>
      <c r="DC1" s="58" t="s">
        <v>0</v>
      </c>
      <c r="DD1" s="58" t="s">
        <v>0</v>
      </c>
      <c r="DE1" s="58" t="s">
        <v>0</v>
      </c>
      <c r="DF1" s="60" t="s">
        <v>0</v>
      </c>
      <c r="DG1" s="60" t="s">
        <v>0</v>
      </c>
      <c r="DH1" s="60" t="s">
        <v>0</v>
      </c>
      <c r="DI1" s="60" t="s">
        <v>0</v>
      </c>
      <c r="DJ1" s="32" t="s">
        <v>2</v>
      </c>
      <c r="DK1" s="32" t="s">
        <v>2</v>
      </c>
      <c r="DL1" s="33" t="s">
        <v>1</v>
      </c>
      <c r="DM1" s="33" t="s">
        <v>1</v>
      </c>
      <c r="DN1" s="32" t="s">
        <v>1</v>
      </c>
      <c r="DO1" s="32" t="s">
        <v>1</v>
      </c>
      <c r="DP1" s="32" t="s">
        <v>2</v>
      </c>
      <c r="DQ1" s="36" t="s">
        <v>3</v>
      </c>
      <c r="DR1" s="36" t="s">
        <v>3</v>
      </c>
      <c r="DS1" s="36" t="s">
        <v>3</v>
      </c>
      <c r="DT1" s="55" t="s">
        <v>0</v>
      </c>
      <c r="DU1" s="55" t="s">
        <v>0</v>
      </c>
      <c r="DV1" s="55" t="s">
        <v>0</v>
      </c>
      <c r="DW1" s="55" t="s">
        <v>0</v>
      </c>
      <c r="DX1" s="55" t="s">
        <v>0</v>
      </c>
      <c r="DY1" s="55" t="s">
        <v>0</v>
      </c>
      <c r="DZ1" s="55" t="s">
        <v>0</v>
      </c>
      <c r="EA1" s="58" t="s">
        <v>0</v>
      </c>
      <c r="EB1" s="58" t="s">
        <v>0</v>
      </c>
      <c r="EC1" s="58" t="s">
        <v>0</v>
      </c>
      <c r="ED1" s="58" t="s">
        <v>0</v>
      </c>
      <c r="EE1" s="58" t="s">
        <v>0</v>
      </c>
      <c r="EF1" s="58" t="s">
        <v>0</v>
      </c>
      <c r="EG1" s="58" t="s">
        <v>0</v>
      </c>
      <c r="EH1" s="58" t="s">
        <v>0</v>
      </c>
      <c r="EI1" s="58" t="s">
        <v>0</v>
      </c>
      <c r="EJ1" s="58" t="s">
        <v>0</v>
      </c>
      <c r="EK1" s="58" t="s">
        <v>0</v>
      </c>
      <c r="EL1" s="58" t="s">
        <v>0</v>
      </c>
      <c r="EM1" s="58" t="s">
        <v>0</v>
      </c>
      <c r="EN1" s="60" t="s">
        <v>0</v>
      </c>
      <c r="EO1" s="60" t="s">
        <v>0</v>
      </c>
      <c r="EP1" s="60" t="s">
        <v>0</v>
      </c>
      <c r="EQ1" s="60" t="s">
        <v>0</v>
      </c>
    </row>
    <row r="2" spans="1:147" ht="15" customHeight="1">
      <c r="A2" s="10" t="s">
        <v>6</v>
      </c>
      <c r="B2" t="s">
        <v>7</v>
      </c>
      <c r="C2" t="s">
        <v>8</v>
      </c>
      <c r="D2" t="s">
        <v>9</v>
      </c>
      <c r="E2" t="s">
        <v>10</v>
      </c>
      <c r="F2" t="s">
        <v>10</v>
      </c>
      <c r="G2" t="s">
        <v>11</v>
      </c>
      <c r="H2" t="s">
        <v>12</v>
      </c>
      <c r="I2" t="s">
        <v>13</v>
      </c>
      <c r="J2" t="s">
        <v>14</v>
      </c>
      <c r="K2" t="s">
        <v>15</v>
      </c>
      <c r="L2" t="s">
        <v>15</v>
      </c>
      <c r="M2" t="s">
        <v>16</v>
      </c>
      <c r="N2" t="s">
        <v>17</v>
      </c>
      <c r="O2" t="s">
        <v>18</v>
      </c>
      <c r="P2" t="s">
        <v>19</v>
      </c>
      <c r="Q2" t="s">
        <v>20</v>
      </c>
      <c r="R2" t="s">
        <v>20</v>
      </c>
      <c r="S2" t="s">
        <v>21</v>
      </c>
      <c r="T2" t="s">
        <v>22</v>
      </c>
      <c r="U2" t="s">
        <v>23</v>
      </c>
      <c r="V2" t="s">
        <v>24</v>
      </c>
      <c r="W2" t="s">
        <v>25</v>
      </c>
      <c r="X2" t="s">
        <v>26</v>
      </c>
      <c r="Y2" t="s">
        <v>27</v>
      </c>
      <c r="Z2" t="s">
        <v>28</v>
      </c>
      <c r="AA2" t="s">
        <v>29</v>
      </c>
      <c r="AB2" t="s">
        <v>30</v>
      </c>
      <c r="AC2" t="s">
        <v>31</v>
      </c>
      <c r="AD2" t="s">
        <v>32</v>
      </c>
      <c r="AE2" t="s">
        <v>33</v>
      </c>
      <c r="AF2" t="s">
        <v>34</v>
      </c>
      <c r="AG2" t="s">
        <v>35</v>
      </c>
      <c r="AH2" t="s">
        <v>36</v>
      </c>
      <c r="AI2" t="s">
        <v>37</v>
      </c>
      <c r="AJ2" t="s">
        <v>38</v>
      </c>
      <c r="AK2" t="s">
        <v>39</v>
      </c>
      <c r="AL2" t="s">
        <v>40</v>
      </c>
      <c r="AM2" t="s">
        <v>41</v>
      </c>
      <c r="AN2" s="10" t="s">
        <v>42</v>
      </c>
      <c r="AO2" t="s">
        <v>43</v>
      </c>
      <c r="AP2" t="s">
        <v>44</v>
      </c>
      <c r="AQ2" t="s">
        <v>45</v>
      </c>
      <c r="AR2" t="s">
        <v>46</v>
      </c>
      <c r="AS2" t="s">
        <v>47</v>
      </c>
      <c r="AT2" t="s">
        <v>48</v>
      </c>
      <c r="AU2" t="s">
        <v>49</v>
      </c>
      <c r="AV2" t="s">
        <v>50</v>
      </c>
      <c r="AW2" t="s">
        <v>51</v>
      </c>
      <c r="AX2" t="s">
        <v>52</v>
      </c>
      <c r="AY2" t="s">
        <v>53</v>
      </c>
      <c r="AZ2" t="s">
        <v>54</v>
      </c>
      <c r="BA2" t="s">
        <v>55</v>
      </c>
      <c r="BB2" t="s">
        <v>54</v>
      </c>
      <c r="BC2" t="s">
        <v>56</v>
      </c>
      <c r="BD2" t="s">
        <v>54</v>
      </c>
      <c r="BE2" t="s">
        <v>57</v>
      </c>
      <c r="BF2" t="s">
        <v>54</v>
      </c>
      <c r="BG2" t="s">
        <v>58</v>
      </c>
      <c r="BH2" t="s">
        <v>54</v>
      </c>
      <c r="BI2" t="s">
        <v>59</v>
      </c>
      <c r="BJ2" t="s">
        <v>54</v>
      </c>
      <c r="BK2" t="s">
        <v>60</v>
      </c>
      <c r="BL2" t="s">
        <v>54</v>
      </c>
      <c r="BM2" t="s">
        <v>61</v>
      </c>
      <c r="BN2" t="s">
        <v>54</v>
      </c>
      <c r="BO2" s="10" t="s">
        <v>62</v>
      </c>
      <c r="BP2" t="s">
        <v>54</v>
      </c>
      <c r="BQ2" s="10" t="s">
        <v>63</v>
      </c>
      <c r="BR2" t="s">
        <v>54</v>
      </c>
      <c r="BS2" t="s">
        <v>64</v>
      </c>
      <c r="BT2" t="s">
        <v>54</v>
      </c>
      <c r="BU2" t="s">
        <v>65</v>
      </c>
      <c r="BV2" t="s">
        <v>54</v>
      </c>
      <c r="BW2" t="s">
        <v>66</v>
      </c>
      <c r="BX2" t="s">
        <v>54</v>
      </c>
      <c r="BY2" t="s">
        <v>67</v>
      </c>
      <c r="BZ2" t="s">
        <v>54</v>
      </c>
      <c r="CA2" t="s">
        <v>68</v>
      </c>
      <c r="CB2" s="34" t="s">
        <v>69</v>
      </c>
      <c r="CC2" s="34" t="s">
        <v>70</v>
      </c>
      <c r="CD2" s="34" t="s">
        <v>71</v>
      </c>
      <c r="CE2" s="34" t="s">
        <v>72</v>
      </c>
      <c r="CF2" s="34" t="s">
        <v>73</v>
      </c>
      <c r="CG2" s="34" t="s">
        <v>74</v>
      </c>
      <c r="CH2" s="34" t="s">
        <v>75</v>
      </c>
      <c r="CI2" s="34" t="s">
        <v>76</v>
      </c>
      <c r="CJ2" s="34" t="s">
        <v>77</v>
      </c>
      <c r="CK2" s="35" t="s">
        <v>78</v>
      </c>
      <c r="CL2" s="56" t="s">
        <v>79</v>
      </c>
      <c r="CM2" s="57" t="s">
        <v>80</v>
      </c>
      <c r="CN2" s="57" t="s">
        <v>81</v>
      </c>
      <c r="CO2" s="57" t="s">
        <v>82</v>
      </c>
      <c r="CP2" s="57" t="s">
        <v>83</v>
      </c>
      <c r="CQ2" s="57" t="s">
        <v>84</v>
      </c>
      <c r="CR2" s="57" t="s">
        <v>85</v>
      </c>
      <c r="CS2" s="59" t="s">
        <v>86</v>
      </c>
      <c r="CT2" s="59" t="s">
        <v>87</v>
      </c>
      <c r="CU2" s="59" t="s">
        <v>88</v>
      </c>
      <c r="CV2" s="59" t="s">
        <v>89</v>
      </c>
      <c r="CW2" s="59" t="s">
        <v>90</v>
      </c>
      <c r="CX2" s="59" t="s">
        <v>91</v>
      </c>
      <c r="CY2" s="59" t="s">
        <v>92</v>
      </c>
      <c r="CZ2" s="59" t="s">
        <v>93</v>
      </c>
      <c r="DA2" s="59" t="s">
        <v>94</v>
      </c>
      <c r="DB2" s="59" t="s">
        <v>95</v>
      </c>
      <c r="DC2" s="59" t="s">
        <v>96</v>
      </c>
      <c r="DD2" s="59" t="s">
        <v>97</v>
      </c>
      <c r="DE2" s="59" t="s">
        <v>98</v>
      </c>
      <c r="DF2" s="61" t="s">
        <v>1706</v>
      </c>
      <c r="DG2" s="61" t="s">
        <v>1705</v>
      </c>
      <c r="DH2" s="61" t="s">
        <v>1707</v>
      </c>
      <c r="DI2" s="61" t="s">
        <v>1710</v>
      </c>
      <c r="DJ2" s="34" t="s">
        <v>99</v>
      </c>
      <c r="DK2" s="34" t="s">
        <v>100</v>
      </c>
      <c r="DL2" s="34" t="s">
        <v>101</v>
      </c>
      <c r="DM2" s="34" t="s">
        <v>102</v>
      </c>
      <c r="DN2" s="34" t="s">
        <v>103</v>
      </c>
      <c r="DO2" s="34" t="s">
        <v>104</v>
      </c>
      <c r="DP2" s="34" t="s">
        <v>105</v>
      </c>
      <c r="DQ2" s="34" t="s">
        <v>106</v>
      </c>
      <c r="DR2" s="34" t="s">
        <v>107</v>
      </c>
      <c r="DS2" s="35" t="s">
        <v>108</v>
      </c>
      <c r="DT2" s="56" t="s">
        <v>79</v>
      </c>
      <c r="DU2" s="57" t="s">
        <v>80</v>
      </c>
      <c r="DV2" s="57" t="s">
        <v>81</v>
      </c>
      <c r="DW2" s="57" t="s">
        <v>82</v>
      </c>
      <c r="DX2" s="57" t="s">
        <v>83</v>
      </c>
      <c r="DY2" s="57" t="s">
        <v>84</v>
      </c>
      <c r="DZ2" s="57" t="s">
        <v>109</v>
      </c>
      <c r="EA2" s="59" t="s">
        <v>86</v>
      </c>
      <c r="EB2" s="59" t="s">
        <v>87</v>
      </c>
      <c r="EC2" s="59" t="s">
        <v>88</v>
      </c>
      <c r="ED2" s="59" t="s">
        <v>89</v>
      </c>
      <c r="EE2" s="59" t="s">
        <v>110</v>
      </c>
      <c r="EF2" s="59" t="s">
        <v>111</v>
      </c>
      <c r="EG2" s="59" t="s">
        <v>92</v>
      </c>
      <c r="EH2" s="59" t="s">
        <v>93</v>
      </c>
      <c r="EI2" s="59" t="s">
        <v>94</v>
      </c>
      <c r="EJ2" s="59" t="s">
        <v>95</v>
      </c>
      <c r="EK2" s="59" t="s">
        <v>96</v>
      </c>
      <c r="EL2" s="59" t="s">
        <v>112</v>
      </c>
      <c r="EM2" s="59" t="s">
        <v>98</v>
      </c>
      <c r="EN2" s="61" t="s">
        <v>1706</v>
      </c>
      <c r="EO2" s="61" t="s">
        <v>1705</v>
      </c>
      <c r="EP2" s="61" t="s">
        <v>1707</v>
      </c>
      <c r="EQ2" s="61" t="s">
        <v>1710</v>
      </c>
    </row>
    <row r="3" spans="1:147" ht="15" customHeight="1">
      <c r="A3" s="10" t="s">
        <v>114</v>
      </c>
      <c r="B3" t="s">
        <v>115</v>
      </c>
      <c r="C3" t="s">
        <v>116</v>
      </c>
      <c r="D3" t="s">
        <v>117</v>
      </c>
      <c r="E3" t="s">
        <v>118</v>
      </c>
      <c r="F3" t="s">
        <v>119</v>
      </c>
      <c r="G3" t="s">
        <v>120</v>
      </c>
      <c r="H3" t="s">
        <v>121</v>
      </c>
      <c r="I3" t="s">
        <v>122</v>
      </c>
      <c r="J3" t="s">
        <v>123</v>
      </c>
      <c r="K3" t="s">
        <v>124</v>
      </c>
      <c r="L3" t="s">
        <v>125</v>
      </c>
      <c r="M3" t="s">
        <v>126</v>
      </c>
      <c r="N3" t="s">
        <v>127</v>
      </c>
      <c r="O3" t="s">
        <v>128</v>
      </c>
      <c r="P3" t="s">
        <v>129</v>
      </c>
      <c r="Q3" t="s">
        <v>130</v>
      </c>
      <c r="R3" t="s">
        <v>1726</v>
      </c>
      <c r="S3" t="s">
        <v>131</v>
      </c>
      <c r="T3" t="s">
        <v>132</v>
      </c>
      <c r="U3" t="s">
        <v>133</v>
      </c>
      <c r="V3" t="s">
        <v>134</v>
      </c>
      <c r="W3" t="s">
        <v>135</v>
      </c>
      <c r="X3" t="s">
        <v>136</v>
      </c>
      <c r="Y3" t="s">
        <v>137</v>
      </c>
      <c r="Z3" t="s">
        <v>138</v>
      </c>
      <c r="AA3" t="s">
        <v>139</v>
      </c>
      <c r="AB3" t="s">
        <v>140</v>
      </c>
      <c r="AC3" t="s">
        <v>141</v>
      </c>
      <c r="AD3" t="s">
        <v>142</v>
      </c>
      <c r="AE3" t="s">
        <v>143</v>
      </c>
      <c r="AF3" t="s">
        <v>144</v>
      </c>
      <c r="AG3" t="s">
        <v>145</v>
      </c>
      <c r="AH3" t="s">
        <v>146</v>
      </c>
      <c r="AI3" t="s">
        <v>147</v>
      </c>
      <c r="AJ3" t="s">
        <v>148</v>
      </c>
      <c r="AK3" t="s">
        <v>149</v>
      </c>
      <c r="AL3" t="s">
        <v>150</v>
      </c>
      <c r="AM3" t="s">
        <v>151</v>
      </c>
      <c r="AN3" s="10" t="s">
        <v>152</v>
      </c>
      <c r="AO3" t="s">
        <v>153</v>
      </c>
      <c r="AP3" t="s">
        <v>154</v>
      </c>
      <c r="AQ3" t="s">
        <v>155</v>
      </c>
      <c r="AR3" t="s">
        <v>156</v>
      </c>
      <c r="AS3" t="s">
        <v>157</v>
      </c>
      <c r="AT3" t="s">
        <v>158</v>
      </c>
      <c r="AU3" t="s">
        <v>159</v>
      </c>
      <c r="AV3" t="s">
        <v>160</v>
      </c>
      <c r="AW3" t="s">
        <v>161</v>
      </c>
      <c r="AX3" t="s">
        <v>162</v>
      </c>
      <c r="AY3" s="1" t="s">
        <v>163</v>
      </c>
      <c r="AZ3" s="1" t="s">
        <v>164</v>
      </c>
      <c r="BA3" s="1" t="s">
        <v>165</v>
      </c>
      <c r="BB3" s="1" t="s">
        <v>166</v>
      </c>
      <c r="BC3" s="1" t="s">
        <v>167</v>
      </c>
      <c r="BD3" s="1" t="s">
        <v>168</v>
      </c>
      <c r="BE3" s="1" t="s">
        <v>169</v>
      </c>
      <c r="BF3" s="1" t="s">
        <v>170</v>
      </c>
      <c r="BG3" s="1" t="s">
        <v>171</v>
      </c>
      <c r="BH3" s="1" t="s">
        <v>172</v>
      </c>
      <c r="BI3" s="1" t="s">
        <v>173</v>
      </c>
      <c r="BJ3" s="1" t="s">
        <v>174</v>
      </c>
      <c r="BK3" s="1" t="s">
        <v>175</v>
      </c>
      <c r="BL3" s="1" t="s">
        <v>176</v>
      </c>
      <c r="BM3" s="1" t="s">
        <v>177</v>
      </c>
      <c r="BN3" s="1" t="s">
        <v>178</v>
      </c>
      <c r="BO3" s="1" t="s">
        <v>179</v>
      </c>
      <c r="BP3" s="1" t="s">
        <v>180</v>
      </c>
      <c r="BQ3" s="1" t="s">
        <v>181</v>
      </c>
      <c r="BR3" s="1" t="s">
        <v>182</v>
      </c>
      <c r="BS3" s="1" t="s">
        <v>183</v>
      </c>
      <c r="BT3" s="1" t="s">
        <v>184</v>
      </c>
      <c r="BU3" s="1" t="s">
        <v>185</v>
      </c>
      <c r="BV3" s="1" t="s">
        <v>186</v>
      </c>
      <c r="BW3" s="1" t="s">
        <v>187</v>
      </c>
      <c r="BX3" s="1" t="s">
        <v>188</v>
      </c>
      <c r="BY3" s="1" t="s">
        <v>189</v>
      </c>
      <c r="BZ3" s="1" t="s">
        <v>190</v>
      </c>
      <c r="CA3" s="1" t="s">
        <v>191</v>
      </c>
      <c r="CB3" s="1" t="s">
        <v>192</v>
      </c>
      <c r="CC3" s="1" t="s">
        <v>193</v>
      </c>
      <c r="CD3" s="1" t="s">
        <v>194</v>
      </c>
      <c r="CE3" s="1" t="s">
        <v>195</v>
      </c>
      <c r="CF3" s="1" t="s">
        <v>196</v>
      </c>
      <c r="CG3" s="1" t="s">
        <v>197</v>
      </c>
      <c r="CH3" s="1" t="s">
        <v>198</v>
      </c>
      <c r="CI3" s="27" t="s">
        <v>1702</v>
      </c>
      <c r="CJ3" s="27" t="s">
        <v>199</v>
      </c>
      <c r="CK3" s="27" t="s">
        <v>200</v>
      </c>
      <c r="CL3" s="35" t="s">
        <v>201</v>
      </c>
      <c r="CM3" s="27" t="s">
        <v>202</v>
      </c>
      <c r="CN3" s="27" t="s">
        <v>203</v>
      </c>
      <c r="CO3" s="27" t="s">
        <v>204</v>
      </c>
      <c r="CP3" s="27" t="s">
        <v>205</v>
      </c>
      <c r="CQ3" s="27" t="s">
        <v>206</v>
      </c>
      <c r="CR3" s="27" t="s">
        <v>207</v>
      </c>
      <c r="CS3" s="27" t="s">
        <v>208</v>
      </c>
      <c r="CT3" s="27" t="s">
        <v>209</v>
      </c>
      <c r="CU3" s="27" t="s">
        <v>210</v>
      </c>
      <c r="CV3" s="27" t="s">
        <v>211</v>
      </c>
      <c r="CW3" s="27" t="s">
        <v>212</v>
      </c>
      <c r="CX3" s="27" t="s">
        <v>213</v>
      </c>
      <c r="CY3" s="27" t="s">
        <v>214</v>
      </c>
      <c r="CZ3" s="27" t="s">
        <v>215</v>
      </c>
      <c r="DA3" s="27" t="s">
        <v>216</v>
      </c>
      <c r="DB3" s="27" t="s">
        <v>217</v>
      </c>
      <c r="DC3" s="65" t="s">
        <v>218</v>
      </c>
      <c r="DD3" s="27" t="s">
        <v>219</v>
      </c>
      <c r="DE3" s="27" t="s">
        <v>220</v>
      </c>
      <c r="DF3" s="27" t="s">
        <v>1703</v>
      </c>
      <c r="DG3" s="27" t="s">
        <v>1704</v>
      </c>
      <c r="DH3" s="27" t="s">
        <v>1708</v>
      </c>
      <c r="DI3" s="27" t="s">
        <v>1709</v>
      </c>
      <c r="DJ3" s="1" t="s">
        <v>225</v>
      </c>
      <c r="DK3" s="1" t="s">
        <v>226</v>
      </c>
      <c r="DL3" s="1" t="s">
        <v>227</v>
      </c>
      <c r="DM3" s="1" t="s">
        <v>228</v>
      </c>
      <c r="DN3" s="1" t="s">
        <v>229</v>
      </c>
      <c r="DO3" s="1" t="s">
        <v>230</v>
      </c>
      <c r="DP3" s="1" t="s">
        <v>231</v>
      </c>
      <c r="DQ3" s="27" t="s">
        <v>1701</v>
      </c>
      <c r="DR3" s="27" t="s">
        <v>232</v>
      </c>
      <c r="DS3" s="27" t="s">
        <v>233</v>
      </c>
      <c r="DT3" s="35" t="s">
        <v>1715</v>
      </c>
      <c r="DU3" s="35" t="s">
        <v>234</v>
      </c>
      <c r="DV3" s="35" t="s">
        <v>235</v>
      </c>
      <c r="DW3" s="35" t="s">
        <v>236</v>
      </c>
      <c r="DX3" s="35" t="s">
        <v>237</v>
      </c>
      <c r="DY3" s="35" t="s">
        <v>238</v>
      </c>
      <c r="DZ3" s="35" t="s">
        <v>239</v>
      </c>
      <c r="EA3" s="35" t="s">
        <v>240</v>
      </c>
      <c r="EB3" s="35" t="s">
        <v>241</v>
      </c>
      <c r="EC3" s="35" t="s">
        <v>242</v>
      </c>
      <c r="ED3" s="35" t="s">
        <v>243</v>
      </c>
      <c r="EE3" s="35" t="s">
        <v>244</v>
      </c>
      <c r="EF3" s="35" t="s">
        <v>245</v>
      </c>
      <c r="EG3" s="35" t="s">
        <v>246</v>
      </c>
      <c r="EH3" s="35" t="s">
        <v>247</v>
      </c>
      <c r="EI3" s="35" t="s">
        <v>248</v>
      </c>
      <c r="EJ3" s="35" t="s">
        <v>249</v>
      </c>
      <c r="EK3" s="65" t="s">
        <v>250</v>
      </c>
      <c r="EL3" s="35" t="s">
        <v>251</v>
      </c>
      <c r="EM3" s="35" t="s">
        <v>252</v>
      </c>
      <c r="EN3" s="35" t="s">
        <v>1711</v>
      </c>
      <c r="EO3" s="35" t="s">
        <v>1712</v>
      </c>
      <c r="EP3" s="35" t="s">
        <v>1713</v>
      </c>
      <c r="EQ3" s="35" t="s">
        <v>1714</v>
      </c>
    </row>
    <row r="4" spans="1:147" s="1" customFormat="1" ht="15" customHeight="1">
      <c r="A4" s="30" t="s">
        <v>254</v>
      </c>
      <c r="B4" s="1">
        <v>1</v>
      </c>
      <c r="C4" s="1">
        <v>1</v>
      </c>
      <c r="D4" s="1">
        <v>1991</v>
      </c>
      <c r="E4" s="1" t="s">
        <v>255</v>
      </c>
      <c r="F4" s="1" t="s">
        <v>255</v>
      </c>
      <c r="G4" s="15">
        <v>2</v>
      </c>
      <c r="H4" s="15">
        <v>2</v>
      </c>
      <c r="I4" s="15">
        <v>1</v>
      </c>
      <c r="J4" s="1" t="s">
        <v>256</v>
      </c>
      <c r="K4" s="1" t="s">
        <v>257</v>
      </c>
      <c r="L4" s="1" t="s">
        <v>258</v>
      </c>
      <c r="M4" s="1" t="s">
        <v>259</v>
      </c>
      <c r="N4" s="1">
        <v>378</v>
      </c>
      <c r="O4" s="1" t="s">
        <v>260</v>
      </c>
      <c r="P4" s="1" t="s">
        <v>261</v>
      </c>
      <c r="Q4" s="1" t="s">
        <v>262</v>
      </c>
      <c r="R4" s="1" t="s">
        <v>1730</v>
      </c>
      <c r="S4" s="1" t="s">
        <v>263</v>
      </c>
      <c r="T4" s="1" t="s">
        <v>264</v>
      </c>
      <c r="U4" s="1" t="s">
        <v>265</v>
      </c>
      <c r="V4" s="1" t="s">
        <v>266</v>
      </c>
      <c r="W4" t="s">
        <v>267</v>
      </c>
      <c r="X4" s="10">
        <v>5.71</v>
      </c>
      <c r="Y4" s="10">
        <v>2.02</v>
      </c>
      <c r="Z4" s="10">
        <v>1.89</v>
      </c>
      <c r="AA4" s="10">
        <v>435</v>
      </c>
      <c r="AB4" s="1" t="s">
        <v>268</v>
      </c>
      <c r="AC4" s="1">
        <v>1982</v>
      </c>
      <c r="AD4" s="1">
        <v>1986</v>
      </c>
      <c r="AE4" s="6">
        <f>21/435*100</f>
        <v>4.827586206896552</v>
      </c>
      <c r="AF4" s="1" t="s">
        <v>269</v>
      </c>
      <c r="AG4" s="1" t="s">
        <v>270</v>
      </c>
      <c r="AH4" s="1" t="s">
        <v>271</v>
      </c>
      <c r="AI4" s="1" t="s">
        <v>272</v>
      </c>
      <c r="AJ4" s="1" t="s">
        <v>273</v>
      </c>
      <c r="AK4" s="1" t="s">
        <v>274</v>
      </c>
      <c r="AL4" s="1" t="s">
        <v>275</v>
      </c>
      <c r="AM4" s="1" t="s">
        <v>276</v>
      </c>
      <c r="AN4" s="10" t="s">
        <v>277</v>
      </c>
      <c r="AO4" s="17">
        <v>1</v>
      </c>
      <c r="AP4" s="17">
        <v>26</v>
      </c>
      <c r="AQ4" s="17">
        <v>52</v>
      </c>
      <c r="AR4" s="17">
        <v>12</v>
      </c>
      <c r="AS4" s="17">
        <v>21</v>
      </c>
      <c r="AT4" s="17" t="s">
        <v>278</v>
      </c>
      <c r="AU4" s="17">
        <v>7086</v>
      </c>
      <c r="AV4" s="17" t="s">
        <v>279</v>
      </c>
      <c r="AW4" t="s">
        <v>280</v>
      </c>
      <c r="AX4" s="1" t="s">
        <v>281</v>
      </c>
      <c r="AY4" s="1" t="s">
        <v>282</v>
      </c>
      <c r="AZ4" t="s">
        <v>283</v>
      </c>
      <c r="BA4" t="s">
        <v>284</v>
      </c>
      <c r="BB4" s="2" t="s">
        <v>277</v>
      </c>
      <c r="BC4" s="2" t="s">
        <v>285</v>
      </c>
      <c r="BD4" s="2" t="s">
        <v>286</v>
      </c>
      <c r="BE4" s="3" t="s">
        <v>287</v>
      </c>
      <c r="BF4" s="3" t="s">
        <v>288</v>
      </c>
      <c r="BG4" s="3" t="s">
        <v>284</v>
      </c>
      <c r="BH4" s="2" t="s">
        <v>277</v>
      </c>
      <c r="BI4" s="2" t="s">
        <v>284</v>
      </c>
      <c r="BJ4" s="2" t="s">
        <v>277</v>
      </c>
      <c r="BK4" s="2" t="s">
        <v>284</v>
      </c>
      <c r="BL4" s="2" t="s">
        <v>277</v>
      </c>
      <c r="BM4" t="s">
        <v>284</v>
      </c>
      <c r="BN4" s="2" t="s">
        <v>277</v>
      </c>
      <c r="BO4" s="2" t="s">
        <v>289</v>
      </c>
      <c r="BP4" s="3" t="s">
        <v>290</v>
      </c>
      <c r="BQ4" s="2" t="s">
        <v>291</v>
      </c>
      <c r="BR4" s="2" t="s">
        <v>292</v>
      </c>
      <c r="BS4" s="2" t="s">
        <v>293</v>
      </c>
      <c r="BT4" s="2" t="s">
        <v>294</v>
      </c>
      <c r="BU4" s="2" t="s">
        <v>284</v>
      </c>
      <c r="BV4" s="2" t="s">
        <v>277</v>
      </c>
      <c r="BW4" s="1" t="s">
        <v>284</v>
      </c>
      <c r="BX4" s="2" t="s">
        <v>277</v>
      </c>
      <c r="BY4" s="2" t="s">
        <v>284</v>
      </c>
      <c r="BZ4" s="2" t="s">
        <v>277</v>
      </c>
      <c r="CA4" s="2" t="s">
        <v>277</v>
      </c>
      <c r="CB4" s="1" t="s">
        <v>295</v>
      </c>
      <c r="CC4" s="1" t="s">
        <v>296</v>
      </c>
      <c r="CD4" s="48">
        <f>38.4</f>
        <v>38.4</v>
      </c>
      <c r="CE4" s="48">
        <v>29.6</v>
      </c>
      <c r="CF4" s="48">
        <f aca="true" t="shared" si="0" ref="CF4:CF18">CE4/(CE4+CD4)</f>
        <v>0.43529411764705883</v>
      </c>
      <c r="CG4" s="48">
        <f>IF(Data!$CB4="NA",".",Data!$CF4-(1-Data!$CF4))</f>
        <v>-0.12941176470588234</v>
      </c>
      <c r="CH4" s="1" t="s">
        <v>277</v>
      </c>
      <c r="CI4" s="17">
        <v>0</v>
      </c>
      <c r="CJ4" s="17">
        <v>0</v>
      </c>
      <c r="CK4" s="17">
        <v>0</v>
      </c>
      <c r="CL4" s="10" t="s">
        <v>297</v>
      </c>
      <c r="CM4" s="10" t="s">
        <v>298</v>
      </c>
      <c r="CN4" s="10" t="s">
        <v>299</v>
      </c>
      <c r="CO4" s="10" t="s">
        <v>299</v>
      </c>
      <c r="CP4" s="10" t="s">
        <v>299</v>
      </c>
      <c r="CQ4" s="10" t="s">
        <v>298</v>
      </c>
      <c r="CR4" s="10" t="s">
        <v>298</v>
      </c>
      <c r="CS4" s="10" t="s">
        <v>298</v>
      </c>
      <c r="CT4" s="10" t="s">
        <v>298</v>
      </c>
      <c r="CU4" s="10" t="s">
        <v>298</v>
      </c>
      <c r="CV4" s="10" t="s">
        <v>298</v>
      </c>
      <c r="CW4" s="10" t="s">
        <v>298</v>
      </c>
      <c r="CX4" s="10" t="s">
        <v>298</v>
      </c>
      <c r="CY4" s="10" t="s">
        <v>298</v>
      </c>
      <c r="CZ4" s="10" t="s">
        <v>300</v>
      </c>
      <c r="DA4" s="10" t="s">
        <v>298</v>
      </c>
      <c r="DB4" s="10" t="s">
        <v>298</v>
      </c>
      <c r="DC4" s="10" t="s">
        <v>298</v>
      </c>
      <c r="DD4" s="10" t="s">
        <v>298</v>
      </c>
      <c r="DE4" s="10" t="s">
        <v>299</v>
      </c>
      <c r="DF4" s="10" t="s">
        <v>298</v>
      </c>
      <c r="DG4" s="10" t="s">
        <v>298</v>
      </c>
      <c r="DH4" s="10" t="s">
        <v>298</v>
      </c>
      <c r="DI4" s="10" t="s">
        <v>298</v>
      </c>
      <c r="DJ4" s="1" t="s">
        <v>295</v>
      </c>
      <c r="DK4" s="1" t="s">
        <v>301</v>
      </c>
      <c r="DL4" s="48" t="s">
        <v>278</v>
      </c>
      <c r="DM4" s="48" t="s">
        <v>278</v>
      </c>
      <c r="DN4" s="48" t="s">
        <v>278</v>
      </c>
      <c r="DO4" s="48" t="s">
        <v>302</v>
      </c>
      <c r="DP4" s="1" t="s">
        <v>277</v>
      </c>
      <c r="DQ4" s="17">
        <v>0</v>
      </c>
      <c r="DR4" s="17">
        <v>0</v>
      </c>
      <c r="DS4" s="17">
        <v>0</v>
      </c>
      <c r="DT4" s="10" t="s">
        <v>303</v>
      </c>
      <c r="DU4" s="10" t="s">
        <v>298</v>
      </c>
      <c r="DV4" s="10" t="s">
        <v>299</v>
      </c>
      <c r="DW4" s="10" t="s">
        <v>299</v>
      </c>
      <c r="DX4" s="10" t="s">
        <v>299</v>
      </c>
      <c r="DY4" s="10" t="s">
        <v>299</v>
      </c>
      <c r="DZ4" s="10" t="s">
        <v>298</v>
      </c>
      <c r="EA4" s="10"/>
      <c r="EB4" s="10" t="s">
        <v>304</v>
      </c>
      <c r="EC4" s="10" t="s">
        <v>298</v>
      </c>
      <c r="ED4" s="10" t="s">
        <v>298</v>
      </c>
      <c r="EE4" s="10" t="s">
        <v>298</v>
      </c>
      <c r="EF4" s="10" t="s">
        <v>298</v>
      </c>
      <c r="EG4" s="10" t="s">
        <v>298</v>
      </c>
      <c r="EH4" s="10" t="s">
        <v>300</v>
      </c>
      <c r="EI4" s="10" t="s">
        <v>298</v>
      </c>
      <c r="EJ4" s="10" t="s">
        <v>298</v>
      </c>
      <c r="EK4" s="10" t="s">
        <v>298</v>
      </c>
      <c r="EL4" s="10" t="s">
        <v>298</v>
      </c>
      <c r="EM4" s="10" t="s">
        <v>299</v>
      </c>
      <c r="EN4" s="10" t="s">
        <v>298</v>
      </c>
      <c r="EO4" s="10" t="s">
        <v>298</v>
      </c>
      <c r="EP4" s="10" t="s">
        <v>298</v>
      </c>
      <c r="EQ4" s="10" t="s">
        <v>298</v>
      </c>
    </row>
    <row r="5" spans="1:147" s="1" customFormat="1" ht="15" customHeight="1">
      <c r="A5" s="30" t="s">
        <v>254</v>
      </c>
      <c r="B5" s="1">
        <v>2</v>
      </c>
      <c r="C5" s="1">
        <v>2</v>
      </c>
      <c r="D5" s="1">
        <v>1994</v>
      </c>
      <c r="E5" s="1" t="s">
        <v>305</v>
      </c>
      <c r="F5" s="1" t="s">
        <v>305</v>
      </c>
      <c r="G5" s="15">
        <v>1</v>
      </c>
      <c r="H5" s="15">
        <v>1</v>
      </c>
      <c r="I5" s="15">
        <v>1</v>
      </c>
      <c r="J5" s="1" t="s">
        <v>306</v>
      </c>
      <c r="K5" s="1" t="s">
        <v>307</v>
      </c>
      <c r="L5" s="1" t="s">
        <v>258</v>
      </c>
      <c r="M5" s="1" t="s">
        <v>308</v>
      </c>
      <c r="N5" s="1">
        <v>327</v>
      </c>
      <c r="O5" s="1" t="s">
        <v>260</v>
      </c>
      <c r="P5" s="1" t="s">
        <v>261</v>
      </c>
      <c r="Q5" s="1" t="s">
        <v>262</v>
      </c>
      <c r="R5" s="1" t="s">
        <v>262</v>
      </c>
      <c r="S5" s="1" t="s">
        <v>263</v>
      </c>
      <c r="T5" s="1" t="s">
        <v>264</v>
      </c>
      <c r="U5" s="1" t="s">
        <v>265</v>
      </c>
      <c r="V5" s="1" t="s">
        <v>266</v>
      </c>
      <c r="W5" t="s">
        <v>267</v>
      </c>
      <c r="X5" s="10">
        <v>5.71</v>
      </c>
      <c r="Y5" s="10">
        <v>2.02</v>
      </c>
      <c r="Z5" s="10">
        <v>1.89</v>
      </c>
      <c r="AA5" s="10">
        <v>435</v>
      </c>
      <c r="AB5" s="1" t="s">
        <v>309</v>
      </c>
      <c r="AC5" s="1">
        <v>1982</v>
      </c>
      <c r="AD5" s="1">
        <v>1988</v>
      </c>
      <c r="AE5" s="6">
        <f>21/435*100</f>
        <v>4.827586206896552</v>
      </c>
      <c r="AF5" s="1" t="s">
        <v>269</v>
      </c>
      <c r="AG5" s="1" t="s">
        <v>270</v>
      </c>
      <c r="AH5" s="1" t="s">
        <v>310</v>
      </c>
      <c r="AI5" s="1" t="s">
        <v>272</v>
      </c>
      <c r="AJ5" t="s">
        <v>311</v>
      </c>
      <c r="AK5" s="1" t="s">
        <v>274</v>
      </c>
      <c r="AL5" s="1" t="s">
        <v>312</v>
      </c>
      <c r="AM5" s="1" t="s">
        <v>313</v>
      </c>
      <c r="AN5" s="10" t="s">
        <v>277</v>
      </c>
      <c r="AO5" s="17">
        <v>1</v>
      </c>
      <c r="AP5" s="17">
        <v>26</v>
      </c>
      <c r="AQ5" s="17">
        <v>52</v>
      </c>
      <c r="AR5" s="17">
        <v>12</v>
      </c>
      <c r="AS5" s="17">
        <v>21</v>
      </c>
      <c r="AT5" s="17" t="s">
        <v>278</v>
      </c>
      <c r="AU5" s="17">
        <v>7086</v>
      </c>
      <c r="AV5" s="17" t="s">
        <v>279</v>
      </c>
      <c r="AW5" t="s">
        <v>280</v>
      </c>
      <c r="AX5" s="1" t="s">
        <v>281</v>
      </c>
      <c r="AY5" s="1" t="s">
        <v>282</v>
      </c>
      <c r="AZ5" t="s">
        <v>314</v>
      </c>
      <c r="BA5" t="s">
        <v>284</v>
      </c>
      <c r="BB5" s="2" t="s">
        <v>277</v>
      </c>
      <c r="BC5" s="2" t="s">
        <v>285</v>
      </c>
      <c r="BD5" s="3" t="s">
        <v>315</v>
      </c>
      <c r="BE5" s="3" t="s">
        <v>287</v>
      </c>
      <c r="BF5" s="3" t="s">
        <v>316</v>
      </c>
      <c r="BG5" s="3" t="s">
        <v>284</v>
      </c>
      <c r="BH5" s="2" t="s">
        <v>277</v>
      </c>
      <c r="BI5" s="2" t="s">
        <v>284</v>
      </c>
      <c r="BJ5" s="2" t="s">
        <v>277</v>
      </c>
      <c r="BK5" s="2" t="s">
        <v>284</v>
      </c>
      <c r="BL5" s="2" t="s">
        <v>277</v>
      </c>
      <c r="BM5" t="s">
        <v>284</v>
      </c>
      <c r="BN5" s="2" t="s">
        <v>277</v>
      </c>
      <c r="BO5" s="2" t="s">
        <v>289</v>
      </c>
      <c r="BP5" s="2" t="s">
        <v>317</v>
      </c>
      <c r="BQ5" s="2" t="s">
        <v>318</v>
      </c>
      <c r="BR5" s="2" t="s">
        <v>319</v>
      </c>
      <c r="BS5" s="2" t="s">
        <v>293</v>
      </c>
      <c r="BT5" s="2" t="s">
        <v>320</v>
      </c>
      <c r="BU5" s="2" t="s">
        <v>284</v>
      </c>
      <c r="BV5" s="2" t="s">
        <v>277</v>
      </c>
      <c r="BW5" s="1" t="s">
        <v>284</v>
      </c>
      <c r="BX5" s="2" t="s">
        <v>277</v>
      </c>
      <c r="BY5" s="2" t="s">
        <v>284</v>
      </c>
      <c r="BZ5" s="2" t="s">
        <v>277</v>
      </c>
      <c r="CA5" s="2" t="s">
        <v>277</v>
      </c>
      <c r="CB5" s="1" t="s">
        <v>321</v>
      </c>
      <c r="CC5" s="1" t="s">
        <v>322</v>
      </c>
      <c r="CD5" s="48">
        <v>95</v>
      </c>
      <c r="CE5" s="48">
        <v>79</v>
      </c>
      <c r="CF5" s="48">
        <f t="shared" si="0"/>
        <v>0.4540229885057471</v>
      </c>
      <c r="CG5" s="48" t="s">
        <v>278</v>
      </c>
      <c r="CH5" s="1" t="s">
        <v>323</v>
      </c>
      <c r="CI5" s="17">
        <v>0</v>
      </c>
      <c r="CJ5" s="17">
        <v>0</v>
      </c>
      <c r="CK5" s="17">
        <v>0</v>
      </c>
      <c r="CL5" s="10" t="s">
        <v>303</v>
      </c>
      <c r="CM5" s="10" t="s">
        <v>298</v>
      </c>
      <c r="CN5" s="10" t="s">
        <v>299</v>
      </c>
      <c r="CO5" s="10" t="s">
        <v>299</v>
      </c>
      <c r="CP5" s="10" t="s">
        <v>299</v>
      </c>
      <c r="CQ5" s="10" t="s">
        <v>298</v>
      </c>
      <c r="CR5" s="10" t="s">
        <v>298</v>
      </c>
      <c r="CS5" s="10" t="s">
        <v>298</v>
      </c>
      <c r="CT5" s="10" t="s">
        <v>298</v>
      </c>
      <c r="CU5" s="10" t="s">
        <v>298</v>
      </c>
      <c r="CV5" s="10" t="s">
        <v>298</v>
      </c>
      <c r="CW5" s="10" t="s">
        <v>298</v>
      </c>
      <c r="CX5" s="10" t="s">
        <v>298</v>
      </c>
      <c r="CY5" s="10" t="s">
        <v>298</v>
      </c>
      <c r="CZ5" s="10" t="s">
        <v>300</v>
      </c>
      <c r="DA5" s="10" t="s">
        <v>298</v>
      </c>
      <c r="DB5" s="10" t="s">
        <v>298</v>
      </c>
      <c r="DC5" s="10" t="s">
        <v>298</v>
      </c>
      <c r="DD5" s="10" t="s">
        <v>298</v>
      </c>
      <c r="DE5" s="10" t="s">
        <v>298</v>
      </c>
      <c r="DF5" s="10" t="s">
        <v>298</v>
      </c>
      <c r="DG5" s="10" t="s">
        <v>298</v>
      </c>
      <c r="DH5" s="10" t="s">
        <v>298</v>
      </c>
      <c r="DI5" s="10" t="s">
        <v>298</v>
      </c>
      <c r="DJ5" s="1" t="s">
        <v>277</v>
      </c>
      <c r="DK5" s="1" t="s">
        <v>277</v>
      </c>
      <c r="DL5" s="48" t="s">
        <v>278</v>
      </c>
      <c r="DM5" s="48" t="s">
        <v>278</v>
      </c>
      <c r="DN5" s="48" t="s">
        <v>278</v>
      </c>
      <c r="DO5" s="48" t="s">
        <v>278</v>
      </c>
      <c r="DP5" s="1" t="s">
        <v>277</v>
      </c>
      <c r="DQ5" s="17" t="s">
        <v>278</v>
      </c>
      <c r="DR5" s="17" t="s">
        <v>278</v>
      </c>
      <c r="DS5" s="17" t="s">
        <v>278</v>
      </c>
      <c r="DT5" s="1" t="s">
        <v>277</v>
      </c>
      <c r="DU5" s="1" t="s">
        <v>277</v>
      </c>
      <c r="DV5" s="1" t="s">
        <v>277</v>
      </c>
      <c r="DW5" s="1" t="s">
        <v>277</v>
      </c>
      <c r="DX5" s="1" t="s">
        <v>277</v>
      </c>
      <c r="DY5" s="1" t="s">
        <v>277</v>
      </c>
      <c r="DZ5" s="1" t="s">
        <v>277</v>
      </c>
      <c r="EA5" s="1" t="s">
        <v>277</v>
      </c>
      <c r="EB5" s="1" t="s">
        <v>277</v>
      </c>
      <c r="EC5" s="1" t="s">
        <v>277</v>
      </c>
      <c r="ED5" s="1" t="s">
        <v>277</v>
      </c>
      <c r="EE5" s="1" t="s">
        <v>277</v>
      </c>
      <c r="EF5" s="1" t="s">
        <v>277</v>
      </c>
      <c r="EG5" s="1" t="s">
        <v>277</v>
      </c>
      <c r="EH5" s="1" t="s">
        <v>277</v>
      </c>
      <c r="EI5" s="1" t="s">
        <v>277</v>
      </c>
      <c r="EJ5" s="1" t="s">
        <v>277</v>
      </c>
      <c r="EK5" s="1" t="s">
        <v>277</v>
      </c>
      <c r="EL5" s="1" t="s">
        <v>277</v>
      </c>
      <c r="EM5" s="1" t="s">
        <v>277</v>
      </c>
      <c r="EN5" s="1" t="s">
        <v>277</v>
      </c>
      <c r="EO5" s="1" t="s">
        <v>277</v>
      </c>
      <c r="EP5" s="1" t="s">
        <v>277</v>
      </c>
      <c r="EQ5" s="1" t="s">
        <v>277</v>
      </c>
    </row>
    <row r="6" spans="1:147" s="1" customFormat="1" ht="15" customHeight="1">
      <c r="A6" s="30" t="s">
        <v>254</v>
      </c>
      <c r="B6" s="1">
        <v>3</v>
      </c>
      <c r="C6" s="1">
        <v>2</v>
      </c>
      <c r="D6" s="1">
        <v>1994</v>
      </c>
      <c r="E6" s="1" t="s">
        <v>305</v>
      </c>
      <c r="F6" s="1" t="s">
        <v>305</v>
      </c>
      <c r="G6" s="15">
        <v>1</v>
      </c>
      <c r="H6" s="15">
        <v>1</v>
      </c>
      <c r="I6" s="15">
        <v>1</v>
      </c>
      <c r="J6" s="1" t="s">
        <v>306</v>
      </c>
      <c r="K6" s="1" t="s">
        <v>307</v>
      </c>
      <c r="L6" s="1" t="s">
        <v>258</v>
      </c>
      <c r="M6" s="1" t="s">
        <v>308</v>
      </c>
      <c r="N6" s="1">
        <v>327</v>
      </c>
      <c r="O6" s="1" t="s">
        <v>260</v>
      </c>
      <c r="P6" s="1" t="s">
        <v>261</v>
      </c>
      <c r="Q6" s="1" t="s">
        <v>324</v>
      </c>
      <c r="R6" s="1" t="s">
        <v>324</v>
      </c>
      <c r="S6" s="1" t="s">
        <v>325</v>
      </c>
      <c r="T6" s="1" t="s">
        <v>326</v>
      </c>
      <c r="U6" s="1" t="s">
        <v>265</v>
      </c>
      <c r="V6" s="1" t="s">
        <v>266</v>
      </c>
      <c r="W6" t="s">
        <v>267</v>
      </c>
      <c r="X6" s="10">
        <v>5.71</v>
      </c>
      <c r="Y6" s="10">
        <v>2.02</v>
      </c>
      <c r="Z6" s="10">
        <v>1.89</v>
      </c>
      <c r="AA6" s="10">
        <v>435</v>
      </c>
      <c r="AB6" s="1" t="s">
        <v>309</v>
      </c>
      <c r="AC6" s="1">
        <v>1982</v>
      </c>
      <c r="AD6" s="1">
        <v>1988</v>
      </c>
      <c r="AE6" s="6">
        <f>21/435*100</f>
        <v>4.827586206896552</v>
      </c>
      <c r="AF6" s="1" t="s">
        <v>269</v>
      </c>
      <c r="AG6" s="1" t="s">
        <v>270</v>
      </c>
      <c r="AH6" s="1" t="s">
        <v>310</v>
      </c>
      <c r="AI6" s="1" t="s">
        <v>272</v>
      </c>
      <c r="AJ6" t="s">
        <v>311</v>
      </c>
      <c r="AK6" s="1" t="s">
        <v>274</v>
      </c>
      <c r="AL6" s="1" t="s">
        <v>312</v>
      </c>
      <c r="AM6" s="1" t="s">
        <v>313</v>
      </c>
      <c r="AN6" s="10" t="s">
        <v>277</v>
      </c>
      <c r="AO6" s="17">
        <v>1</v>
      </c>
      <c r="AP6" s="17">
        <v>21</v>
      </c>
      <c r="AQ6" s="17">
        <v>42</v>
      </c>
      <c r="AR6" s="17">
        <v>10</v>
      </c>
      <c r="AS6" s="17" t="s">
        <v>327</v>
      </c>
      <c r="AT6" s="17" t="s">
        <v>278</v>
      </c>
      <c r="AU6" s="17">
        <v>6780</v>
      </c>
      <c r="AV6" s="17" t="s">
        <v>328</v>
      </c>
      <c r="AW6" t="s">
        <v>329</v>
      </c>
      <c r="AX6" s="1" t="s">
        <v>281</v>
      </c>
      <c r="AY6" s="1" t="s">
        <v>330</v>
      </c>
      <c r="AZ6" t="s">
        <v>331</v>
      </c>
      <c r="BA6" t="s">
        <v>284</v>
      </c>
      <c r="BB6" s="2" t="s">
        <v>277</v>
      </c>
      <c r="BC6" s="2" t="s">
        <v>289</v>
      </c>
      <c r="BD6" s="3" t="s">
        <v>315</v>
      </c>
      <c r="BE6" s="3" t="s">
        <v>287</v>
      </c>
      <c r="BF6" s="3" t="s">
        <v>332</v>
      </c>
      <c r="BG6" s="3" t="s">
        <v>284</v>
      </c>
      <c r="BH6" s="2" t="s">
        <v>277</v>
      </c>
      <c r="BI6" s="2" t="s">
        <v>284</v>
      </c>
      <c r="BJ6" s="2" t="s">
        <v>277</v>
      </c>
      <c r="BK6" s="2" t="s">
        <v>284</v>
      </c>
      <c r="BL6" s="2" t="s">
        <v>277</v>
      </c>
      <c r="BM6" t="s">
        <v>284</v>
      </c>
      <c r="BN6" s="2" t="s">
        <v>277</v>
      </c>
      <c r="BO6" s="2" t="s">
        <v>289</v>
      </c>
      <c r="BP6" s="2" t="s">
        <v>333</v>
      </c>
      <c r="BQ6" s="2" t="s">
        <v>334</v>
      </c>
      <c r="BR6" s="2" t="s">
        <v>335</v>
      </c>
      <c r="BS6" s="2" t="s">
        <v>336</v>
      </c>
      <c r="BT6" s="2" t="s">
        <v>337</v>
      </c>
      <c r="BU6" s="2" t="s">
        <v>284</v>
      </c>
      <c r="BV6" s="2" t="s">
        <v>277</v>
      </c>
      <c r="BW6" s="1" t="s">
        <v>284</v>
      </c>
      <c r="BX6" s="2" t="s">
        <v>277</v>
      </c>
      <c r="BY6" s="2" t="s">
        <v>284</v>
      </c>
      <c r="BZ6" s="2" t="s">
        <v>277</v>
      </c>
      <c r="CA6" s="2" t="s">
        <v>277</v>
      </c>
      <c r="CB6" s="1" t="s">
        <v>338</v>
      </c>
      <c r="CC6" s="1" t="s">
        <v>339</v>
      </c>
      <c r="CD6" s="48">
        <v>113</v>
      </c>
      <c r="CE6" s="48">
        <v>113</v>
      </c>
      <c r="CF6" s="48">
        <f t="shared" si="0"/>
        <v>0.5</v>
      </c>
      <c r="CG6" s="48">
        <f>IF(Data!$CB6="NA",".",Data!$CF6-(1-Data!$CF6))</f>
        <v>0</v>
      </c>
      <c r="CH6" s="1" t="s">
        <v>277</v>
      </c>
      <c r="CI6" s="17">
        <v>0</v>
      </c>
      <c r="CJ6" s="17">
        <v>0</v>
      </c>
      <c r="CK6" s="17">
        <v>0</v>
      </c>
      <c r="CL6" s="10" t="s">
        <v>303</v>
      </c>
      <c r="CM6" s="10" t="s">
        <v>298</v>
      </c>
      <c r="CN6" s="10" t="s">
        <v>299</v>
      </c>
      <c r="CO6" s="10" t="s">
        <v>299</v>
      </c>
      <c r="CP6" s="10" t="s">
        <v>299</v>
      </c>
      <c r="CQ6" s="10" t="s">
        <v>298</v>
      </c>
      <c r="CR6" s="10" t="s">
        <v>298</v>
      </c>
      <c r="CS6" s="10" t="s">
        <v>298</v>
      </c>
      <c r="CT6" s="10" t="s">
        <v>298</v>
      </c>
      <c r="CU6" s="10" t="s">
        <v>298</v>
      </c>
      <c r="CV6" s="10" t="s">
        <v>298</v>
      </c>
      <c r="CW6" s="10" t="s">
        <v>298</v>
      </c>
      <c r="CX6" s="10" t="s">
        <v>298</v>
      </c>
      <c r="CY6" s="10" t="s">
        <v>298</v>
      </c>
      <c r="CZ6" s="10" t="s">
        <v>300</v>
      </c>
      <c r="DA6" s="10" t="s">
        <v>298</v>
      </c>
      <c r="DB6" s="10" t="s">
        <v>298</v>
      </c>
      <c r="DC6" s="10" t="s">
        <v>298</v>
      </c>
      <c r="DD6" s="10" t="s">
        <v>298</v>
      </c>
      <c r="DE6" s="10" t="s">
        <v>298</v>
      </c>
      <c r="DF6" s="10" t="s">
        <v>298</v>
      </c>
      <c r="DG6" s="10" t="s">
        <v>298</v>
      </c>
      <c r="DH6" s="10" t="s">
        <v>298</v>
      </c>
      <c r="DI6" s="10" t="s">
        <v>298</v>
      </c>
      <c r="DJ6" s="1" t="s">
        <v>277</v>
      </c>
      <c r="DK6" s="1" t="s">
        <v>277</v>
      </c>
      <c r="DL6" s="48" t="s">
        <v>278</v>
      </c>
      <c r="DM6" s="48" t="s">
        <v>278</v>
      </c>
      <c r="DN6" s="48" t="s">
        <v>278</v>
      </c>
      <c r="DO6" s="48" t="s">
        <v>278</v>
      </c>
      <c r="DP6" s="1" t="s">
        <v>277</v>
      </c>
      <c r="DQ6" s="17" t="s">
        <v>278</v>
      </c>
      <c r="DR6" s="17" t="s">
        <v>278</v>
      </c>
      <c r="DS6" s="17" t="s">
        <v>278</v>
      </c>
      <c r="DT6" s="1" t="s">
        <v>277</v>
      </c>
      <c r="DU6" s="1" t="s">
        <v>277</v>
      </c>
      <c r="DV6" s="1" t="s">
        <v>277</v>
      </c>
      <c r="DW6" s="1" t="s">
        <v>277</v>
      </c>
      <c r="DX6" s="1" t="s">
        <v>277</v>
      </c>
      <c r="DY6" s="1" t="s">
        <v>277</v>
      </c>
      <c r="DZ6" s="1" t="s">
        <v>277</v>
      </c>
      <c r="EA6" s="1" t="s">
        <v>277</v>
      </c>
      <c r="EB6" s="1" t="s">
        <v>277</v>
      </c>
      <c r="EC6" s="1" t="s">
        <v>277</v>
      </c>
      <c r="ED6" s="1" t="s">
        <v>277</v>
      </c>
      <c r="EE6" s="1" t="s">
        <v>277</v>
      </c>
      <c r="EF6" s="1" t="s">
        <v>277</v>
      </c>
      <c r="EG6" s="1" t="s">
        <v>277</v>
      </c>
      <c r="EH6" s="1" t="s">
        <v>277</v>
      </c>
      <c r="EI6" s="1" t="s">
        <v>277</v>
      </c>
      <c r="EJ6" s="1" t="s">
        <v>277</v>
      </c>
      <c r="EK6" s="1" t="s">
        <v>277</v>
      </c>
      <c r="EL6" s="1" t="s">
        <v>277</v>
      </c>
      <c r="EM6" s="1" t="s">
        <v>277</v>
      </c>
      <c r="EN6" s="1" t="s">
        <v>277</v>
      </c>
      <c r="EO6" s="1" t="s">
        <v>277</v>
      </c>
      <c r="EP6" s="1" t="s">
        <v>277</v>
      </c>
      <c r="EQ6" s="1" t="s">
        <v>277</v>
      </c>
    </row>
    <row r="7" spans="1:147" s="1" customFormat="1" ht="15" customHeight="1">
      <c r="A7" s="30" t="s">
        <v>254</v>
      </c>
      <c r="B7" s="1">
        <v>4</v>
      </c>
      <c r="C7" s="1">
        <v>3</v>
      </c>
      <c r="D7" s="1">
        <v>2005</v>
      </c>
      <c r="E7" s="1" t="s">
        <v>340</v>
      </c>
      <c r="F7" s="1" t="s">
        <v>341</v>
      </c>
      <c r="G7" s="15">
        <v>3</v>
      </c>
      <c r="H7" s="15">
        <v>3</v>
      </c>
      <c r="I7" s="15">
        <v>1</v>
      </c>
      <c r="J7" s="1" t="s">
        <v>342</v>
      </c>
      <c r="K7" s="1" t="s">
        <v>343</v>
      </c>
      <c r="L7" s="1" t="s">
        <v>258</v>
      </c>
      <c r="M7" s="1" t="s">
        <v>344</v>
      </c>
      <c r="N7" s="1">
        <v>231</v>
      </c>
      <c r="O7" s="1" t="s">
        <v>260</v>
      </c>
      <c r="P7" s="1" t="s">
        <v>261</v>
      </c>
      <c r="Q7" s="1" t="s">
        <v>1725</v>
      </c>
      <c r="R7" s="1" t="s">
        <v>1727</v>
      </c>
      <c r="S7" s="1" t="s">
        <v>325</v>
      </c>
      <c r="T7" s="1" t="s">
        <v>264</v>
      </c>
      <c r="U7" s="1" t="s">
        <v>346</v>
      </c>
      <c r="V7" s="1" t="s">
        <v>266</v>
      </c>
      <c r="W7" t="s">
        <v>267</v>
      </c>
      <c r="X7" s="10">
        <v>2.71</v>
      </c>
      <c r="Y7" s="10">
        <v>2.21</v>
      </c>
      <c r="Z7" s="10">
        <v>2.01</v>
      </c>
      <c r="AA7" s="10">
        <v>435</v>
      </c>
      <c r="AB7" s="1">
        <v>1999</v>
      </c>
      <c r="AC7" s="1">
        <v>1999</v>
      </c>
      <c r="AD7" s="1">
        <v>1999</v>
      </c>
      <c r="AE7" s="1">
        <v>13.3</v>
      </c>
      <c r="AF7" s="1" t="s">
        <v>269</v>
      </c>
      <c r="AG7" s="1" t="s">
        <v>270</v>
      </c>
      <c r="AH7" s="1" t="s">
        <v>347</v>
      </c>
      <c r="AI7" s="1" t="s">
        <v>272</v>
      </c>
      <c r="AJ7" s="12" t="s">
        <v>348</v>
      </c>
      <c r="AK7" s="1" t="s">
        <v>274</v>
      </c>
      <c r="AL7" s="1" t="s">
        <v>349</v>
      </c>
      <c r="AM7" s="1" t="s">
        <v>276</v>
      </c>
      <c r="AN7" s="10" t="s">
        <v>350</v>
      </c>
      <c r="AO7" s="17">
        <v>1</v>
      </c>
      <c r="AP7" s="17">
        <v>1</v>
      </c>
      <c r="AQ7" s="17">
        <v>6</v>
      </c>
      <c r="AR7" s="17">
        <v>1</v>
      </c>
      <c r="AS7" s="17">
        <v>70</v>
      </c>
      <c r="AT7" s="17">
        <v>421</v>
      </c>
      <c r="AU7" s="17">
        <v>421</v>
      </c>
      <c r="AV7" s="17">
        <v>421</v>
      </c>
      <c r="AW7" t="s">
        <v>351</v>
      </c>
      <c r="AX7" t="s">
        <v>351</v>
      </c>
      <c r="AY7" s="1" t="s">
        <v>352</v>
      </c>
      <c r="AZ7" s="2" t="s">
        <v>353</v>
      </c>
      <c r="BA7" t="s">
        <v>289</v>
      </c>
      <c r="BB7" s="2" t="s">
        <v>354</v>
      </c>
      <c r="BC7" s="2" t="s">
        <v>285</v>
      </c>
      <c r="BD7" s="1" t="s">
        <v>355</v>
      </c>
      <c r="BE7" s="3" t="s">
        <v>356</v>
      </c>
      <c r="BF7" s="13" t="s">
        <v>357</v>
      </c>
      <c r="BG7" s="3" t="s">
        <v>289</v>
      </c>
      <c r="BH7" s="2" t="s">
        <v>358</v>
      </c>
      <c r="BI7" s="2" t="s">
        <v>359</v>
      </c>
      <c r="BJ7" s="2" t="s">
        <v>360</v>
      </c>
      <c r="BK7" s="2" t="s">
        <v>284</v>
      </c>
      <c r="BL7" s="2" t="s">
        <v>277</v>
      </c>
      <c r="BM7" t="s">
        <v>284</v>
      </c>
      <c r="BN7" s="2" t="s">
        <v>277</v>
      </c>
      <c r="BO7" s="2" t="s">
        <v>289</v>
      </c>
      <c r="BP7" s="2" t="s">
        <v>361</v>
      </c>
      <c r="BQ7" s="2" t="s">
        <v>362</v>
      </c>
      <c r="BR7" s="2" t="s">
        <v>277</v>
      </c>
      <c r="BS7" s="2" t="s">
        <v>362</v>
      </c>
      <c r="BT7" s="2" t="s">
        <v>277</v>
      </c>
      <c r="BU7" s="2" t="s">
        <v>284</v>
      </c>
      <c r="BV7" s="2" t="s">
        <v>277</v>
      </c>
      <c r="BW7" s="1" t="s">
        <v>284</v>
      </c>
      <c r="BX7" s="1" t="s">
        <v>363</v>
      </c>
      <c r="BY7" s="2" t="s">
        <v>284</v>
      </c>
      <c r="BZ7" s="2" t="s">
        <v>277</v>
      </c>
      <c r="CA7" s="2" t="s">
        <v>277</v>
      </c>
      <c r="CB7" s="1" t="s">
        <v>364</v>
      </c>
      <c r="CC7" s="1" t="s">
        <v>365</v>
      </c>
      <c r="CD7" s="48">
        <f>AVERAGE(8.8,72.9,15.9,3.1,33)</f>
        <v>26.74</v>
      </c>
      <c r="CE7" s="48">
        <v>19.7</v>
      </c>
      <c r="CF7" s="48">
        <f t="shared" si="0"/>
        <v>0.42420327304048233</v>
      </c>
      <c r="CG7" s="48">
        <f>IF(Data!$CB7="NA",".",Data!$CF7-(1-Data!$CF7))</f>
        <v>-0.15159345391903534</v>
      </c>
      <c r="CH7" s="1" t="s">
        <v>277</v>
      </c>
      <c r="CI7" s="17">
        <v>0</v>
      </c>
      <c r="CJ7" s="17">
        <v>1</v>
      </c>
      <c r="CK7" s="17">
        <v>0</v>
      </c>
      <c r="CL7" s="10" t="s">
        <v>303</v>
      </c>
      <c r="CM7" s="10" t="s">
        <v>298</v>
      </c>
      <c r="CN7" s="10" t="s">
        <v>299</v>
      </c>
      <c r="CO7" s="10" t="s">
        <v>299</v>
      </c>
      <c r="CP7" s="10" t="s">
        <v>299</v>
      </c>
      <c r="CQ7" s="10" t="s">
        <v>299</v>
      </c>
      <c r="CR7" s="10" t="s">
        <v>299</v>
      </c>
      <c r="CS7" s="10" t="s">
        <v>298</v>
      </c>
      <c r="CT7" s="10" t="s">
        <v>366</v>
      </c>
      <c r="CU7" s="10" t="s">
        <v>299</v>
      </c>
      <c r="CV7" s="10" t="s">
        <v>298</v>
      </c>
      <c r="CW7" s="10" t="s">
        <v>299</v>
      </c>
      <c r="CX7" s="10" t="s">
        <v>299</v>
      </c>
      <c r="CY7" s="10" t="s">
        <v>298</v>
      </c>
      <c r="CZ7" s="10" t="s">
        <v>300</v>
      </c>
      <c r="DA7" s="10" t="s">
        <v>298</v>
      </c>
      <c r="DB7" s="10" t="s">
        <v>298</v>
      </c>
      <c r="DC7" s="10" t="s">
        <v>298</v>
      </c>
      <c r="DD7" s="10" t="s">
        <v>298</v>
      </c>
      <c r="DE7" s="10" t="s">
        <v>298</v>
      </c>
      <c r="DF7" s="10" t="s">
        <v>298</v>
      </c>
      <c r="DG7" s="10" t="s">
        <v>298</v>
      </c>
      <c r="DH7" s="10" t="s">
        <v>298</v>
      </c>
      <c r="DI7" s="10" t="s">
        <v>298</v>
      </c>
      <c r="DJ7" s="1" t="s">
        <v>277</v>
      </c>
      <c r="DK7" s="1" t="s">
        <v>277</v>
      </c>
      <c r="DL7" s="48" t="s">
        <v>278</v>
      </c>
      <c r="DM7" s="48" t="s">
        <v>278</v>
      </c>
      <c r="DN7" s="48" t="s">
        <v>278</v>
      </c>
      <c r="DO7" s="48" t="s">
        <v>278</v>
      </c>
      <c r="DP7" s="1" t="s">
        <v>277</v>
      </c>
      <c r="DQ7" s="17" t="s">
        <v>278</v>
      </c>
      <c r="DR7" s="17" t="s">
        <v>278</v>
      </c>
      <c r="DS7" s="17" t="s">
        <v>278</v>
      </c>
      <c r="DT7" s="1" t="s">
        <v>277</v>
      </c>
      <c r="DU7" s="1" t="s">
        <v>277</v>
      </c>
      <c r="DV7" s="1" t="s">
        <v>277</v>
      </c>
      <c r="DW7" s="1" t="s">
        <v>277</v>
      </c>
      <c r="DX7" s="1" t="s">
        <v>277</v>
      </c>
      <c r="DY7" s="1" t="s">
        <v>277</v>
      </c>
      <c r="DZ7" s="1" t="s">
        <v>277</v>
      </c>
      <c r="EA7" s="1" t="s">
        <v>277</v>
      </c>
      <c r="EB7" s="1" t="s">
        <v>277</v>
      </c>
      <c r="EC7" s="1" t="s">
        <v>277</v>
      </c>
      <c r="ED7" s="1" t="s">
        <v>277</v>
      </c>
      <c r="EE7" s="1" t="s">
        <v>277</v>
      </c>
      <c r="EF7" s="1" t="s">
        <v>277</v>
      </c>
      <c r="EG7" s="1" t="s">
        <v>277</v>
      </c>
      <c r="EH7" s="1" t="s">
        <v>277</v>
      </c>
      <c r="EI7" s="1" t="s">
        <v>277</v>
      </c>
      <c r="EJ7" s="1" t="s">
        <v>277</v>
      </c>
      <c r="EK7" s="1" t="s">
        <v>277</v>
      </c>
      <c r="EL7" s="1" t="s">
        <v>277</v>
      </c>
      <c r="EM7" s="1" t="s">
        <v>277</v>
      </c>
      <c r="EN7" s="1" t="s">
        <v>277</v>
      </c>
      <c r="EO7" s="1" t="s">
        <v>277</v>
      </c>
      <c r="EP7" s="1" t="s">
        <v>277</v>
      </c>
      <c r="EQ7" s="1" t="s">
        <v>277</v>
      </c>
    </row>
    <row r="8" spans="1:147" s="1" customFormat="1" ht="15" customHeight="1">
      <c r="A8" s="30" t="s">
        <v>254</v>
      </c>
      <c r="B8" s="1">
        <v>5</v>
      </c>
      <c r="C8" s="1">
        <v>4</v>
      </c>
      <c r="D8" s="1">
        <v>2001</v>
      </c>
      <c r="E8" s="1" t="s">
        <v>367</v>
      </c>
      <c r="F8" s="1" t="s">
        <v>367</v>
      </c>
      <c r="G8" s="15">
        <v>0</v>
      </c>
      <c r="H8" s="15">
        <v>2</v>
      </c>
      <c r="I8" s="15">
        <v>0</v>
      </c>
      <c r="J8" s="4" t="s">
        <v>368</v>
      </c>
      <c r="K8" s="1" t="s">
        <v>369</v>
      </c>
      <c r="L8" s="1" t="s">
        <v>258</v>
      </c>
      <c r="M8" s="1" t="s">
        <v>370</v>
      </c>
      <c r="N8" s="1">
        <v>152</v>
      </c>
      <c r="O8" s="1" t="s">
        <v>260</v>
      </c>
      <c r="P8" s="1" t="s">
        <v>261</v>
      </c>
      <c r="Q8" s="1" t="s">
        <v>1725</v>
      </c>
      <c r="R8" s="1" t="s">
        <v>1727</v>
      </c>
      <c r="S8" s="1" t="s">
        <v>325</v>
      </c>
      <c r="T8" s="1" t="s">
        <v>264</v>
      </c>
      <c r="U8" s="1" t="s">
        <v>346</v>
      </c>
      <c r="V8" s="1" t="s">
        <v>266</v>
      </c>
      <c r="W8" t="s">
        <v>267</v>
      </c>
      <c r="X8" s="10">
        <v>2.71</v>
      </c>
      <c r="Y8" s="10">
        <v>2.21</v>
      </c>
      <c r="Z8" s="10">
        <v>2.01</v>
      </c>
      <c r="AA8" s="10">
        <v>435</v>
      </c>
      <c r="AB8" s="1">
        <v>1999</v>
      </c>
      <c r="AC8" s="1">
        <v>1999</v>
      </c>
      <c r="AD8" s="1">
        <v>1999</v>
      </c>
      <c r="AE8" s="1">
        <v>13.3</v>
      </c>
      <c r="AF8" s="1" t="s">
        <v>269</v>
      </c>
      <c r="AG8" s="1" t="s">
        <v>270</v>
      </c>
      <c r="AH8" s="1" t="s">
        <v>371</v>
      </c>
      <c r="AI8" s="1" t="s">
        <v>272</v>
      </c>
      <c r="AJ8" s="1" t="s">
        <v>372</v>
      </c>
      <c r="AK8" s="1" t="s">
        <v>373</v>
      </c>
      <c r="AL8" s="1" t="s">
        <v>374</v>
      </c>
      <c r="AM8" s="1" t="s">
        <v>375</v>
      </c>
      <c r="AN8" s="10" t="s">
        <v>350</v>
      </c>
      <c r="AO8" s="17">
        <v>1</v>
      </c>
      <c r="AP8" s="17">
        <v>1</v>
      </c>
      <c r="AQ8" s="17">
        <v>4</v>
      </c>
      <c r="AR8" s="17">
        <v>1</v>
      </c>
      <c r="AS8" s="17">
        <v>5</v>
      </c>
      <c r="AT8" s="17">
        <v>462</v>
      </c>
      <c r="AU8" s="17">
        <v>3080</v>
      </c>
      <c r="AV8" s="17">
        <v>3080</v>
      </c>
      <c r="AW8" t="s">
        <v>376</v>
      </c>
      <c r="AX8" s="1" t="s">
        <v>377</v>
      </c>
      <c r="AY8" s="1" t="s">
        <v>330</v>
      </c>
      <c r="AZ8" s="2" t="s">
        <v>378</v>
      </c>
      <c r="BA8" t="s">
        <v>284</v>
      </c>
      <c r="BB8" s="2" t="s">
        <v>277</v>
      </c>
      <c r="BC8" s="2" t="s">
        <v>284</v>
      </c>
      <c r="BD8" s="2" t="s">
        <v>277</v>
      </c>
      <c r="BE8" s="3" t="s">
        <v>284</v>
      </c>
      <c r="BF8" s="2" t="s">
        <v>277</v>
      </c>
      <c r="BG8" s="3" t="s">
        <v>289</v>
      </c>
      <c r="BH8" s="2" t="s">
        <v>379</v>
      </c>
      <c r="BI8" s="2" t="s">
        <v>380</v>
      </c>
      <c r="BJ8" s="2" t="s">
        <v>381</v>
      </c>
      <c r="BK8" s="2" t="s">
        <v>382</v>
      </c>
      <c r="BL8" s="2" t="s">
        <v>383</v>
      </c>
      <c r="BM8" t="s">
        <v>384</v>
      </c>
      <c r="BN8" s="2" t="s">
        <v>385</v>
      </c>
      <c r="BO8" s="2" t="s">
        <v>386</v>
      </c>
      <c r="BP8" s="2" t="s">
        <v>387</v>
      </c>
      <c r="BQ8" s="2" t="s">
        <v>362</v>
      </c>
      <c r="BR8" s="2" t="s">
        <v>277</v>
      </c>
      <c r="BS8" s="2" t="s">
        <v>362</v>
      </c>
      <c r="BT8" s="2" t="s">
        <v>277</v>
      </c>
      <c r="BU8" s="2" t="s">
        <v>284</v>
      </c>
      <c r="BV8" s="2" t="s">
        <v>277</v>
      </c>
      <c r="BW8" s="1" t="s">
        <v>284</v>
      </c>
      <c r="BX8" s="2" t="s">
        <v>277</v>
      </c>
      <c r="BY8" s="2" t="s">
        <v>388</v>
      </c>
      <c r="BZ8" s="2" t="s">
        <v>389</v>
      </c>
      <c r="CA8" s="2" t="s">
        <v>390</v>
      </c>
      <c r="CB8" s="1" t="s">
        <v>391</v>
      </c>
      <c r="CC8" s="1" t="s">
        <v>392</v>
      </c>
      <c r="CD8" s="48">
        <f>AVERAGE(52.5,13.5,9.8)</f>
        <v>25.266666666666666</v>
      </c>
      <c r="CE8" s="48">
        <v>20</v>
      </c>
      <c r="CF8" s="48">
        <f t="shared" si="0"/>
        <v>0.4418262150220913</v>
      </c>
      <c r="CG8" s="48">
        <f>IF(Data!$CB8="NA",".",Data!$CF8-(1-Data!$CF8))</f>
        <v>-0.11634756995581741</v>
      </c>
      <c r="CH8" s="1" t="s">
        <v>277</v>
      </c>
      <c r="CI8" s="17">
        <v>0</v>
      </c>
      <c r="CJ8" s="17">
        <v>1</v>
      </c>
      <c r="CK8" s="17">
        <v>0</v>
      </c>
      <c r="CL8" s="10" t="s">
        <v>303</v>
      </c>
      <c r="CM8" s="10" t="s">
        <v>298</v>
      </c>
      <c r="CN8" s="10" t="s">
        <v>299</v>
      </c>
      <c r="CO8" s="10" t="s">
        <v>299</v>
      </c>
      <c r="CP8" s="10" t="s">
        <v>299</v>
      </c>
      <c r="CQ8" s="10" t="s">
        <v>299</v>
      </c>
      <c r="CR8" s="10" t="s">
        <v>299</v>
      </c>
      <c r="CS8" s="10" t="s">
        <v>298</v>
      </c>
      <c r="CT8" s="10" t="s">
        <v>366</v>
      </c>
      <c r="CU8" s="10" t="s">
        <v>299</v>
      </c>
      <c r="CV8" s="10" t="s">
        <v>298</v>
      </c>
      <c r="CW8" s="10" t="s">
        <v>299</v>
      </c>
      <c r="CX8" s="10" t="s">
        <v>299</v>
      </c>
      <c r="CY8" s="10" t="s">
        <v>298</v>
      </c>
      <c r="CZ8" s="10" t="s">
        <v>300</v>
      </c>
      <c r="DA8" s="10" t="s">
        <v>298</v>
      </c>
      <c r="DB8" s="10" t="s">
        <v>298</v>
      </c>
      <c r="DC8" s="10" t="s">
        <v>298</v>
      </c>
      <c r="DD8" s="10" t="s">
        <v>298</v>
      </c>
      <c r="DE8" s="10" t="s">
        <v>298</v>
      </c>
      <c r="DF8" s="10" t="s">
        <v>298</v>
      </c>
      <c r="DG8" s="10" t="s">
        <v>298</v>
      </c>
      <c r="DH8" s="10" t="s">
        <v>298</v>
      </c>
      <c r="DI8" s="10" t="s">
        <v>298</v>
      </c>
      <c r="DJ8" s="1" t="s">
        <v>277</v>
      </c>
      <c r="DK8" s="1" t="s">
        <v>277</v>
      </c>
      <c r="DL8" s="48" t="s">
        <v>278</v>
      </c>
      <c r="DM8" s="48" t="s">
        <v>278</v>
      </c>
      <c r="DN8" s="48" t="s">
        <v>278</v>
      </c>
      <c r="DO8" s="48" t="s">
        <v>278</v>
      </c>
      <c r="DP8" s="1" t="s">
        <v>277</v>
      </c>
      <c r="DQ8" s="17" t="s">
        <v>278</v>
      </c>
      <c r="DR8" s="17" t="s">
        <v>278</v>
      </c>
      <c r="DS8" s="17" t="s">
        <v>278</v>
      </c>
      <c r="DT8" s="1" t="s">
        <v>277</v>
      </c>
      <c r="DU8" s="1" t="s">
        <v>277</v>
      </c>
      <c r="DV8" s="1" t="s">
        <v>277</v>
      </c>
      <c r="DW8" s="1" t="s">
        <v>277</v>
      </c>
      <c r="DX8" s="1" t="s">
        <v>277</v>
      </c>
      <c r="DY8" s="1" t="s">
        <v>277</v>
      </c>
      <c r="DZ8" s="1" t="s">
        <v>277</v>
      </c>
      <c r="EA8" s="1" t="s">
        <v>277</v>
      </c>
      <c r="EB8" s="1" t="s">
        <v>277</v>
      </c>
      <c r="EC8" s="1" t="s">
        <v>277</v>
      </c>
      <c r="ED8" s="1" t="s">
        <v>277</v>
      </c>
      <c r="EE8" s="1" t="s">
        <v>277</v>
      </c>
      <c r="EF8" s="1" t="s">
        <v>277</v>
      </c>
      <c r="EG8" s="1" t="s">
        <v>277</v>
      </c>
      <c r="EH8" s="1" t="s">
        <v>277</v>
      </c>
      <c r="EI8" s="1" t="s">
        <v>277</v>
      </c>
      <c r="EJ8" s="1" t="s">
        <v>277</v>
      </c>
      <c r="EK8" s="1" t="s">
        <v>277</v>
      </c>
      <c r="EL8" s="1" t="s">
        <v>277</v>
      </c>
      <c r="EM8" s="1" t="s">
        <v>277</v>
      </c>
      <c r="EN8" s="1" t="s">
        <v>277</v>
      </c>
      <c r="EO8" s="1" t="s">
        <v>277</v>
      </c>
      <c r="EP8" s="1" t="s">
        <v>277</v>
      </c>
      <c r="EQ8" s="1" t="s">
        <v>277</v>
      </c>
    </row>
    <row r="9" spans="1:147" s="1" customFormat="1" ht="15" customHeight="1">
      <c r="A9" s="30" t="s">
        <v>254</v>
      </c>
      <c r="B9" s="1">
        <v>6</v>
      </c>
      <c r="C9" s="1">
        <v>5</v>
      </c>
      <c r="D9" s="1">
        <v>2002</v>
      </c>
      <c r="E9" s="1" t="s">
        <v>393</v>
      </c>
      <c r="F9" s="1" t="s">
        <v>393</v>
      </c>
      <c r="G9" s="15">
        <v>1</v>
      </c>
      <c r="H9" s="15">
        <v>1</v>
      </c>
      <c r="I9" s="15">
        <v>0</v>
      </c>
      <c r="J9" s="1" t="s">
        <v>394</v>
      </c>
      <c r="K9" s="4" t="s">
        <v>395</v>
      </c>
      <c r="L9" s="1" t="s">
        <v>258</v>
      </c>
      <c r="M9" s="4" t="s">
        <v>396</v>
      </c>
      <c r="N9" s="1">
        <v>185</v>
      </c>
      <c r="O9" s="1" t="s">
        <v>260</v>
      </c>
      <c r="P9" s="1" t="s">
        <v>261</v>
      </c>
      <c r="Q9" s="1" t="s">
        <v>324</v>
      </c>
      <c r="R9" s="1" t="s">
        <v>324</v>
      </c>
      <c r="S9" s="1" t="s">
        <v>325</v>
      </c>
      <c r="T9" s="1" t="s">
        <v>326</v>
      </c>
      <c r="U9" s="1" t="s">
        <v>265</v>
      </c>
      <c r="V9" s="1" t="s">
        <v>266</v>
      </c>
      <c r="W9" t="s">
        <v>267</v>
      </c>
      <c r="X9" s="10">
        <v>2.71</v>
      </c>
      <c r="Y9" s="10">
        <v>2.21</v>
      </c>
      <c r="Z9" s="10">
        <v>2.01</v>
      </c>
      <c r="AA9" s="10">
        <v>435</v>
      </c>
      <c r="AB9" s="1">
        <v>1998</v>
      </c>
      <c r="AC9" s="1">
        <v>1998</v>
      </c>
      <c r="AD9" s="1">
        <v>1998</v>
      </c>
      <c r="AE9" s="1">
        <v>11.7</v>
      </c>
      <c r="AF9" s="1" t="s">
        <v>269</v>
      </c>
      <c r="AG9" s="1" t="s">
        <v>270</v>
      </c>
      <c r="AH9" s="1" t="s">
        <v>397</v>
      </c>
      <c r="AI9" s="1" t="s">
        <v>272</v>
      </c>
      <c r="AJ9" t="s">
        <v>398</v>
      </c>
      <c r="AK9" s="1" t="s">
        <v>274</v>
      </c>
      <c r="AL9" s="1" t="s">
        <v>399</v>
      </c>
      <c r="AM9" s="1" t="s">
        <v>276</v>
      </c>
      <c r="AN9" s="10" t="s">
        <v>277</v>
      </c>
      <c r="AO9" s="17">
        <v>1</v>
      </c>
      <c r="AP9" s="17">
        <v>4</v>
      </c>
      <c r="AQ9" s="17">
        <v>8</v>
      </c>
      <c r="AR9" s="17">
        <v>4</v>
      </c>
      <c r="AS9" s="17">
        <v>6</v>
      </c>
      <c r="AT9" s="17">
        <v>237</v>
      </c>
      <c r="AU9" s="17">
        <f>1302+1396</f>
        <v>2698</v>
      </c>
      <c r="AV9" s="17">
        <v>2698</v>
      </c>
      <c r="AW9" t="s">
        <v>400</v>
      </c>
      <c r="AX9" t="s">
        <v>400</v>
      </c>
      <c r="AY9" s="1" t="s">
        <v>330</v>
      </c>
      <c r="AZ9" s="2" t="s">
        <v>401</v>
      </c>
      <c r="BA9" t="s">
        <v>284</v>
      </c>
      <c r="BB9" s="2" t="s">
        <v>277</v>
      </c>
      <c r="BC9" s="2" t="s">
        <v>289</v>
      </c>
      <c r="BD9" s="2" t="s">
        <v>402</v>
      </c>
      <c r="BE9" s="3" t="s">
        <v>284</v>
      </c>
      <c r="BF9" s="2" t="s">
        <v>277</v>
      </c>
      <c r="BG9" s="3" t="s">
        <v>284</v>
      </c>
      <c r="BH9" s="2" t="s">
        <v>277</v>
      </c>
      <c r="BI9" s="2" t="s">
        <v>284</v>
      </c>
      <c r="BJ9" s="2" t="s">
        <v>277</v>
      </c>
      <c r="BK9" s="2" t="s">
        <v>403</v>
      </c>
      <c r="BL9" s="2" t="s">
        <v>404</v>
      </c>
      <c r="BM9" t="s">
        <v>284</v>
      </c>
      <c r="BN9" s="2" t="s">
        <v>277</v>
      </c>
      <c r="BO9" s="2" t="s">
        <v>386</v>
      </c>
      <c r="BP9" s="2" t="s">
        <v>405</v>
      </c>
      <c r="BQ9" s="2" t="s">
        <v>362</v>
      </c>
      <c r="BR9" s="2" t="s">
        <v>277</v>
      </c>
      <c r="BS9" s="2" t="s">
        <v>362</v>
      </c>
      <c r="BT9" s="2" t="s">
        <v>277</v>
      </c>
      <c r="BU9" s="2" t="s">
        <v>284</v>
      </c>
      <c r="BV9" s="2" t="s">
        <v>277</v>
      </c>
      <c r="BW9" s="1" t="s">
        <v>284</v>
      </c>
      <c r="BX9" s="1" t="s">
        <v>277</v>
      </c>
      <c r="BY9" s="2" t="s">
        <v>284</v>
      </c>
      <c r="BZ9" s="2" t="s">
        <v>277</v>
      </c>
      <c r="CA9" s="2" t="s">
        <v>277</v>
      </c>
      <c r="CB9" s="1" t="s">
        <v>406</v>
      </c>
      <c r="CC9" s="1" t="s">
        <v>407</v>
      </c>
      <c r="CD9" s="48">
        <f>AVERAGE(47.7,49.3,52.3,56.3)</f>
        <v>51.400000000000006</v>
      </c>
      <c r="CE9" s="48">
        <f>AVERAGE(52.3,50.7,47.7,43.7)</f>
        <v>48.599999999999994</v>
      </c>
      <c r="CF9" s="48">
        <f t="shared" si="0"/>
        <v>0.48599999999999993</v>
      </c>
      <c r="CG9" s="48">
        <f>IF(Data!$CB9="NA",".",Data!$CF9-(1-Data!$CF9))</f>
        <v>-0.02800000000000008</v>
      </c>
      <c r="CH9" s="1" t="s">
        <v>277</v>
      </c>
      <c r="CI9" s="17">
        <v>0</v>
      </c>
      <c r="CJ9" s="17">
        <v>1</v>
      </c>
      <c r="CK9" s="17">
        <v>0</v>
      </c>
      <c r="CL9" s="10" t="s">
        <v>303</v>
      </c>
      <c r="CM9" s="10" t="s">
        <v>298</v>
      </c>
      <c r="CN9" s="10" t="s">
        <v>299</v>
      </c>
      <c r="CO9" s="10" t="s">
        <v>299</v>
      </c>
      <c r="CP9" s="10" t="s">
        <v>299</v>
      </c>
      <c r="CQ9" s="10" t="s">
        <v>298</v>
      </c>
      <c r="CR9" s="10" t="s">
        <v>298</v>
      </c>
      <c r="CS9" s="10" t="s">
        <v>298</v>
      </c>
      <c r="CT9" s="10" t="s">
        <v>366</v>
      </c>
      <c r="CU9" s="10" t="s">
        <v>299</v>
      </c>
      <c r="CV9" s="10" t="s">
        <v>298</v>
      </c>
      <c r="CW9" s="10" t="s">
        <v>298</v>
      </c>
      <c r="CX9" s="10" t="s">
        <v>298</v>
      </c>
      <c r="CY9" s="10" t="s">
        <v>298</v>
      </c>
      <c r="CZ9" s="10" t="s">
        <v>300</v>
      </c>
      <c r="DA9" s="10" t="s">
        <v>298</v>
      </c>
      <c r="DB9" s="10" t="s">
        <v>298</v>
      </c>
      <c r="DC9" s="10" t="s">
        <v>298</v>
      </c>
      <c r="DD9" s="10" t="s">
        <v>298</v>
      </c>
      <c r="DE9" s="10" t="s">
        <v>298</v>
      </c>
      <c r="DF9" s="10" t="s">
        <v>298</v>
      </c>
      <c r="DG9" s="10" t="s">
        <v>298</v>
      </c>
      <c r="DH9" s="10" t="s">
        <v>298</v>
      </c>
      <c r="DI9" s="10" t="s">
        <v>298</v>
      </c>
      <c r="DJ9" s="1" t="s">
        <v>277</v>
      </c>
      <c r="DK9" s="1" t="s">
        <v>277</v>
      </c>
      <c r="DL9" s="48" t="s">
        <v>278</v>
      </c>
      <c r="DM9" s="48" t="s">
        <v>278</v>
      </c>
      <c r="DN9" s="48" t="s">
        <v>278</v>
      </c>
      <c r="DO9" s="48" t="s">
        <v>278</v>
      </c>
      <c r="DP9" s="1" t="s">
        <v>277</v>
      </c>
      <c r="DQ9" s="17" t="s">
        <v>278</v>
      </c>
      <c r="DR9" s="17" t="s">
        <v>278</v>
      </c>
      <c r="DS9" s="17" t="s">
        <v>278</v>
      </c>
      <c r="DT9" s="1" t="s">
        <v>277</v>
      </c>
      <c r="DU9" s="1" t="s">
        <v>277</v>
      </c>
      <c r="DV9" s="1" t="s">
        <v>277</v>
      </c>
      <c r="DW9" s="1" t="s">
        <v>277</v>
      </c>
      <c r="DX9" s="1" t="s">
        <v>277</v>
      </c>
      <c r="DY9" s="1" t="s">
        <v>277</v>
      </c>
      <c r="DZ9" s="1" t="s">
        <v>277</v>
      </c>
      <c r="EA9" s="1" t="s">
        <v>277</v>
      </c>
      <c r="EB9" s="1" t="s">
        <v>277</v>
      </c>
      <c r="EC9" s="1" t="s">
        <v>277</v>
      </c>
      <c r="ED9" s="1" t="s">
        <v>277</v>
      </c>
      <c r="EE9" s="1" t="s">
        <v>277</v>
      </c>
      <c r="EF9" s="1" t="s">
        <v>277</v>
      </c>
      <c r="EG9" s="1" t="s">
        <v>277</v>
      </c>
      <c r="EH9" s="1" t="s">
        <v>277</v>
      </c>
      <c r="EI9" s="1" t="s">
        <v>277</v>
      </c>
      <c r="EJ9" s="1" t="s">
        <v>277</v>
      </c>
      <c r="EK9" s="1" t="s">
        <v>277</v>
      </c>
      <c r="EL9" s="1" t="s">
        <v>277</v>
      </c>
      <c r="EM9" s="1" t="s">
        <v>277</v>
      </c>
      <c r="EN9" s="1" t="s">
        <v>277</v>
      </c>
      <c r="EO9" s="1" t="s">
        <v>277</v>
      </c>
      <c r="EP9" s="1" t="s">
        <v>277</v>
      </c>
      <c r="EQ9" s="1" t="s">
        <v>277</v>
      </c>
    </row>
    <row r="10" spans="1:147" s="1" customFormat="1" ht="15" customHeight="1">
      <c r="A10" s="30" t="s">
        <v>254</v>
      </c>
      <c r="B10" s="1">
        <v>7</v>
      </c>
      <c r="C10" s="1">
        <v>6</v>
      </c>
      <c r="D10" s="1">
        <v>1997</v>
      </c>
      <c r="E10" s="1" t="s">
        <v>408</v>
      </c>
      <c r="F10" s="1" t="s">
        <v>408</v>
      </c>
      <c r="G10" s="15">
        <v>0</v>
      </c>
      <c r="H10" s="15">
        <v>1</v>
      </c>
      <c r="I10" s="15">
        <v>0</v>
      </c>
      <c r="J10" s="1" t="s">
        <v>409</v>
      </c>
      <c r="K10" s="1" t="s">
        <v>343</v>
      </c>
      <c r="L10" s="1" t="s">
        <v>258</v>
      </c>
      <c r="M10" s="1" t="s">
        <v>410</v>
      </c>
      <c r="N10" s="1">
        <v>143</v>
      </c>
      <c r="O10" s="1" t="s">
        <v>260</v>
      </c>
      <c r="P10" s="1" t="s">
        <v>261</v>
      </c>
      <c r="Q10" s="1" t="s">
        <v>411</v>
      </c>
      <c r="R10" s="1" t="s">
        <v>1731</v>
      </c>
      <c r="S10" s="1" t="s">
        <v>412</v>
      </c>
      <c r="T10" s="1" t="s">
        <v>413</v>
      </c>
      <c r="U10" s="1" t="s">
        <v>265</v>
      </c>
      <c r="V10" s="1" t="s">
        <v>266</v>
      </c>
      <c r="W10" t="s">
        <v>267</v>
      </c>
      <c r="X10" s="10">
        <v>1.31</v>
      </c>
      <c r="Y10" s="10">
        <v>2.08</v>
      </c>
      <c r="Z10" s="10">
        <v>2</v>
      </c>
      <c r="AA10" s="10">
        <v>435</v>
      </c>
      <c r="AB10" s="1">
        <v>1994</v>
      </c>
      <c r="AC10" s="1">
        <v>1994</v>
      </c>
      <c r="AD10" s="1">
        <v>1994</v>
      </c>
      <c r="AE10" s="6">
        <f>48/435*100</f>
        <v>11.03448275862069</v>
      </c>
      <c r="AF10" s="1" t="s">
        <v>269</v>
      </c>
      <c r="AG10" s="1" t="s">
        <v>270</v>
      </c>
      <c r="AH10" s="1" t="s">
        <v>271</v>
      </c>
      <c r="AI10" s="1" t="s">
        <v>272</v>
      </c>
      <c r="AJ10" s="1" t="s">
        <v>414</v>
      </c>
      <c r="AK10" s="1" t="s">
        <v>274</v>
      </c>
      <c r="AL10" s="1" t="s">
        <v>415</v>
      </c>
      <c r="AM10" s="1" t="s">
        <v>276</v>
      </c>
      <c r="AN10" s="10" t="s">
        <v>277</v>
      </c>
      <c r="AO10" s="17">
        <v>1</v>
      </c>
      <c r="AP10" s="17">
        <v>11</v>
      </c>
      <c r="AQ10" s="17">
        <v>22</v>
      </c>
      <c r="AR10" s="17">
        <v>11</v>
      </c>
      <c r="AS10" s="17">
        <v>7</v>
      </c>
      <c r="AT10" s="17" t="s">
        <v>278</v>
      </c>
      <c r="AU10" s="17" t="s">
        <v>278</v>
      </c>
      <c r="AV10" s="17">
        <v>440</v>
      </c>
      <c r="AW10" t="s">
        <v>278</v>
      </c>
      <c r="AX10" s="1" t="s">
        <v>416</v>
      </c>
      <c r="AY10" s="1" t="s">
        <v>330</v>
      </c>
      <c r="AZ10" t="s">
        <v>417</v>
      </c>
      <c r="BA10" t="s">
        <v>418</v>
      </c>
      <c r="BB10" s="1" t="s">
        <v>419</v>
      </c>
      <c r="BC10" s="2" t="s">
        <v>289</v>
      </c>
      <c r="BD10" s="1" t="s">
        <v>420</v>
      </c>
      <c r="BE10" s="3" t="s">
        <v>284</v>
      </c>
      <c r="BF10" s="2" t="s">
        <v>277</v>
      </c>
      <c r="BG10" s="3" t="s">
        <v>284</v>
      </c>
      <c r="BH10" s="2" t="s">
        <v>277</v>
      </c>
      <c r="BI10" s="2" t="s">
        <v>284</v>
      </c>
      <c r="BJ10" s="2" t="s">
        <v>277</v>
      </c>
      <c r="BK10" s="2" t="s">
        <v>284</v>
      </c>
      <c r="BL10" s="2" t="s">
        <v>277</v>
      </c>
      <c r="BM10" t="s">
        <v>284</v>
      </c>
      <c r="BN10" s="2" t="s">
        <v>277</v>
      </c>
      <c r="BO10" s="2" t="s">
        <v>289</v>
      </c>
      <c r="BP10" s="1" t="s">
        <v>421</v>
      </c>
      <c r="BQ10" s="2" t="s">
        <v>336</v>
      </c>
      <c r="BR10" s="2" t="s">
        <v>422</v>
      </c>
      <c r="BS10" s="2" t="s">
        <v>362</v>
      </c>
      <c r="BT10" s="2" t="s">
        <v>277</v>
      </c>
      <c r="BU10" s="2" t="s">
        <v>284</v>
      </c>
      <c r="BV10" s="2" t="s">
        <v>277</v>
      </c>
      <c r="BW10" s="1" t="s">
        <v>284</v>
      </c>
      <c r="BX10" s="1" t="s">
        <v>277</v>
      </c>
      <c r="BY10" s="2" t="s">
        <v>284</v>
      </c>
      <c r="BZ10" s="2" t="s">
        <v>277</v>
      </c>
      <c r="CA10" s="2" t="s">
        <v>277</v>
      </c>
      <c r="CB10" s="1" t="s">
        <v>423</v>
      </c>
      <c r="CC10" s="1" t="s">
        <v>424</v>
      </c>
      <c r="CD10" s="48">
        <v>14.97</v>
      </c>
      <c r="CE10" s="48">
        <v>15</v>
      </c>
      <c r="CF10" s="48">
        <f t="shared" si="0"/>
        <v>0.5005005005005005</v>
      </c>
      <c r="CG10" s="48">
        <f>IF(Data!$CB10="NA",".",Data!$CF10-(1-Data!$CF10))</f>
        <v>0.0010010010010010895</v>
      </c>
      <c r="CH10" s="1" t="s">
        <v>277</v>
      </c>
      <c r="CI10" s="17">
        <v>0</v>
      </c>
      <c r="CJ10" s="17">
        <v>0</v>
      </c>
      <c r="CK10" s="17">
        <v>0</v>
      </c>
      <c r="CL10" s="10" t="s">
        <v>303</v>
      </c>
      <c r="CM10" s="10" t="s">
        <v>298</v>
      </c>
      <c r="CN10" s="10" t="s">
        <v>299</v>
      </c>
      <c r="CO10" s="10" t="s">
        <v>299</v>
      </c>
      <c r="CP10" s="10" t="s">
        <v>299</v>
      </c>
      <c r="CQ10" s="10" t="s">
        <v>298</v>
      </c>
      <c r="CR10" s="10" t="s">
        <v>298</v>
      </c>
      <c r="CS10" s="10" t="s">
        <v>298</v>
      </c>
      <c r="CT10" s="10" t="s">
        <v>298</v>
      </c>
      <c r="CU10" s="10" t="s">
        <v>298</v>
      </c>
      <c r="CV10" s="10" t="s">
        <v>298</v>
      </c>
      <c r="CW10" s="10" t="s">
        <v>298</v>
      </c>
      <c r="CX10" s="10" t="s">
        <v>298</v>
      </c>
      <c r="CY10" s="10" t="s">
        <v>298</v>
      </c>
      <c r="CZ10" s="10" t="s">
        <v>300</v>
      </c>
      <c r="DA10" s="10" t="s">
        <v>298</v>
      </c>
      <c r="DB10" s="10" t="s">
        <v>298</v>
      </c>
      <c r="DC10" s="10" t="s">
        <v>298</v>
      </c>
      <c r="DD10" s="10" t="s">
        <v>298</v>
      </c>
      <c r="DE10" s="10" t="s">
        <v>298</v>
      </c>
      <c r="DF10" s="10" t="s">
        <v>298</v>
      </c>
      <c r="DG10" s="10" t="s">
        <v>298</v>
      </c>
      <c r="DH10" s="10" t="s">
        <v>298</v>
      </c>
      <c r="DI10" s="10" t="s">
        <v>298</v>
      </c>
      <c r="DJ10" s="1" t="s">
        <v>277</v>
      </c>
      <c r="DK10" s="1" t="s">
        <v>277</v>
      </c>
      <c r="DL10" s="48" t="s">
        <v>278</v>
      </c>
      <c r="DM10" s="48" t="s">
        <v>278</v>
      </c>
      <c r="DN10" s="48" t="s">
        <v>278</v>
      </c>
      <c r="DO10" s="48" t="s">
        <v>278</v>
      </c>
      <c r="DP10" s="1" t="s">
        <v>277</v>
      </c>
      <c r="DQ10" s="17" t="s">
        <v>278</v>
      </c>
      <c r="DR10" s="17" t="s">
        <v>278</v>
      </c>
      <c r="DS10" s="17" t="s">
        <v>278</v>
      </c>
      <c r="DT10" s="1" t="s">
        <v>277</v>
      </c>
      <c r="DU10" s="1" t="s">
        <v>277</v>
      </c>
      <c r="DV10" s="1" t="s">
        <v>277</v>
      </c>
      <c r="DW10" s="1" t="s">
        <v>277</v>
      </c>
      <c r="DX10" s="1" t="s">
        <v>277</v>
      </c>
      <c r="DY10" s="1" t="s">
        <v>277</v>
      </c>
      <c r="DZ10" s="1" t="s">
        <v>277</v>
      </c>
      <c r="EA10" s="1" t="s">
        <v>277</v>
      </c>
      <c r="EB10" s="1" t="s">
        <v>277</v>
      </c>
      <c r="EC10" s="1" t="s">
        <v>277</v>
      </c>
      <c r="ED10" s="1" t="s">
        <v>277</v>
      </c>
      <c r="EE10" s="1" t="s">
        <v>277</v>
      </c>
      <c r="EF10" s="1" t="s">
        <v>277</v>
      </c>
      <c r="EG10" s="1" t="s">
        <v>277</v>
      </c>
      <c r="EH10" s="1" t="s">
        <v>277</v>
      </c>
      <c r="EI10" s="1" t="s">
        <v>277</v>
      </c>
      <c r="EJ10" s="1" t="s">
        <v>277</v>
      </c>
      <c r="EK10" s="1" t="s">
        <v>277</v>
      </c>
      <c r="EL10" s="1" t="s">
        <v>277</v>
      </c>
      <c r="EM10" s="1" t="s">
        <v>277</v>
      </c>
      <c r="EN10" s="1" t="s">
        <v>277</v>
      </c>
      <c r="EO10" s="1" t="s">
        <v>277</v>
      </c>
      <c r="EP10" s="1" t="s">
        <v>277</v>
      </c>
      <c r="EQ10" s="1" t="s">
        <v>277</v>
      </c>
    </row>
    <row r="11" spans="1:147" s="1" customFormat="1" ht="15" customHeight="1">
      <c r="A11" s="30" t="s">
        <v>254</v>
      </c>
      <c r="B11" s="1">
        <v>8</v>
      </c>
      <c r="C11" s="1">
        <v>7</v>
      </c>
      <c r="D11" s="1">
        <v>2016</v>
      </c>
      <c r="E11" s="1" t="s">
        <v>426</v>
      </c>
      <c r="F11" s="1" t="s">
        <v>426</v>
      </c>
      <c r="G11" s="15">
        <v>2</v>
      </c>
      <c r="H11" s="15">
        <v>2</v>
      </c>
      <c r="I11" s="15">
        <v>1</v>
      </c>
      <c r="J11" s="1" t="s">
        <v>427</v>
      </c>
      <c r="K11" s="1" t="s">
        <v>428</v>
      </c>
      <c r="L11" s="1" t="s">
        <v>258</v>
      </c>
      <c r="M11" s="1" t="s">
        <v>429</v>
      </c>
      <c r="N11" s="1">
        <v>8</v>
      </c>
      <c r="O11" s="1" t="s">
        <v>430</v>
      </c>
      <c r="P11" s="1" t="s">
        <v>431</v>
      </c>
      <c r="Q11" s="1" t="s">
        <v>432</v>
      </c>
      <c r="R11" s="1" t="s">
        <v>1732</v>
      </c>
      <c r="S11" s="1" t="s">
        <v>263</v>
      </c>
      <c r="T11" s="1" t="s">
        <v>433</v>
      </c>
      <c r="U11" s="1" t="s">
        <v>265</v>
      </c>
      <c r="V11" s="1" t="s">
        <v>434</v>
      </c>
      <c r="W11" t="s">
        <v>435</v>
      </c>
      <c r="X11" s="10" t="s">
        <v>278</v>
      </c>
      <c r="Y11" s="10" t="s">
        <v>278</v>
      </c>
      <c r="Z11" s="10" t="s">
        <v>278</v>
      </c>
      <c r="AA11" s="10" t="s">
        <v>278</v>
      </c>
      <c r="AB11" s="1">
        <v>2009</v>
      </c>
      <c r="AC11" s="1">
        <v>2009</v>
      </c>
      <c r="AD11" s="1">
        <v>2009</v>
      </c>
      <c r="AE11" s="1">
        <v>24.025</v>
      </c>
      <c r="AF11" s="1" t="s">
        <v>269</v>
      </c>
      <c r="AG11" s="1" t="s">
        <v>270</v>
      </c>
      <c r="AH11" s="1" t="s">
        <v>436</v>
      </c>
      <c r="AI11" s="1" t="s">
        <v>437</v>
      </c>
      <c r="AJ11" s="1" t="s">
        <v>438</v>
      </c>
      <c r="AK11" s="1" t="s">
        <v>439</v>
      </c>
      <c r="AL11" s="1" t="s">
        <v>440</v>
      </c>
      <c r="AM11" s="1" t="s">
        <v>276</v>
      </c>
      <c r="AN11" s="10" t="s">
        <v>277</v>
      </c>
      <c r="AO11" s="17">
        <v>25</v>
      </c>
      <c r="AP11" s="17">
        <v>25</v>
      </c>
      <c r="AQ11" s="17">
        <v>7661</v>
      </c>
      <c r="AR11" s="17" t="s">
        <v>278</v>
      </c>
      <c r="AS11" s="17">
        <f>58+84</f>
        <v>142</v>
      </c>
      <c r="AT11" s="17" t="s">
        <v>278</v>
      </c>
      <c r="AU11" s="17" t="s">
        <v>278</v>
      </c>
      <c r="AV11" s="17">
        <v>7661</v>
      </c>
      <c r="AW11" t="s">
        <v>441</v>
      </c>
      <c r="AX11" t="s">
        <v>442</v>
      </c>
      <c r="AY11" s="1" t="s">
        <v>352</v>
      </c>
      <c r="AZ11" s="1" t="s">
        <v>443</v>
      </c>
      <c r="BA11" t="s">
        <v>444</v>
      </c>
      <c r="BB11" s="13" t="s">
        <v>445</v>
      </c>
      <c r="BC11" s="2" t="s">
        <v>284</v>
      </c>
      <c r="BD11" s="2" t="s">
        <v>277</v>
      </c>
      <c r="BE11" s="3" t="s">
        <v>284</v>
      </c>
      <c r="BF11" s="2" t="s">
        <v>277</v>
      </c>
      <c r="BG11" s="3" t="s">
        <v>284</v>
      </c>
      <c r="BH11" s="2" t="s">
        <v>277</v>
      </c>
      <c r="BI11" s="2" t="s">
        <v>284</v>
      </c>
      <c r="BJ11" s="2" t="s">
        <v>277</v>
      </c>
      <c r="BK11" s="2" t="s">
        <v>284</v>
      </c>
      <c r="BL11" s="2" t="s">
        <v>277</v>
      </c>
      <c r="BM11" t="s">
        <v>284</v>
      </c>
      <c r="BN11" s="2" t="s">
        <v>277</v>
      </c>
      <c r="BO11" s="2" t="s">
        <v>284</v>
      </c>
      <c r="BP11" s="2" t="s">
        <v>277</v>
      </c>
      <c r="BQ11" s="2" t="s">
        <v>362</v>
      </c>
      <c r="BR11" s="2" t="s">
        <v>277</v>
      </c>
      <c r="BS11" s="2" t="s">
        <v>362</v>
      </c>
      <c r="BT11" s="2" t="s">
        <v>277</v>
      </c>
      <c r="BU11" s="2" t="s">
        <v>284</v>
      </c>
      <c r="BV11" s="2" t="s">
        <v>277</v>
      </c>
      <c r="BW11" s="1" t="s">
        <v>284</v>
      </c>
      <c r="BX11" s="1" t="s">
        <v>277</v>
      </c>
      <c r="BY11" s="2" t="s">
        <v>284</v>
      </c>
      <c r="BZ11" s="2" t="s">
        <v>277</v>
      </c>
      <c r="CA11" s="1" t="s">
        <v>446</v>
      </c>
      <c r="CB11" s="1" t="s">
        <v>447</v>
      </c>
      <c r="CC11" s="1" t="s">
        <v>448</v>
      </c>
      <c r="CD11" s="48">
        <f>25*100/528+(528-404)/528*1.26</f>
        <v>5.030757575757575</v>
      </c>
      <c r="CE11" s="48">
        <f>25*100/528-(528-124)/528*1.26</f>
        <v>3.7707575757575755</v>
      </c>
      <c r="CF11" s="48">
        <f t="shared" si="0"/>
        <v>0.42842141504561887</v>
      </c>
      <c r="CG11" s="48">
        <f>IF(Data!$CB11="NA",".",Data!$CF11-(1-Data!$CF11))</f>
        <v>-0.1431571699087622</v>
      </c>
      <c r="CH11" s="1" t="s">
        <v>449</v>
      </c>
      <c r="CI11" s="17">
        <v>0</v>
      </c>
      <c r="CJ11" s="17">
        <v>1</v>
      </c>
      <c r="CK11" s="17">
        <v>0</v>
      </c>
      <c r="CL11" s="10" t="s">
        <v>303</v>
      </c>
      <c r="CM11" s="10" t="s">
        <v>298</v>
      </c>
      <c r="CN11" s="10" t="s">
        <v>450</v>
      </c>
      <c r="CO11" s="10" t="s">
        <v>299</v>
      </c>
      <c r="CP11" s="10" t="s">
        <v>299</v>
      </c>
      <c r="CQ11" s="10" t="s">
        <v>299</v>
      </c>
      <c r="CR11" s="10" t="s">
        <v>450</v>
      </c>
      <c r="CS11" s="10" t="s">
        <v>298</v>
      </c>
      <c r="CT11" s="10" t="s">
        <v>298</v>
      </c>
      <c r="CU11" s="10" t="s">
        <v>298</v>
      </c>
      <c r="CV11" s="10" t="s">
        <v>298</v>
      </c>
      <c r="CW11" s="10" t="s">
        <v>298</v>
      </c>
      <c r="CX11" s="10" t="s">
        <v>298</v>
      </c>
      <c r="CY11" s="10" t="s">
        <v>298</v>
      </c>
      <c r="CZ11" s="10" t="s">
        <v>298</v>
      </c>
      <c r="DA11" s="10" t="s">
        <v>298</v>
      </c>
      <c r="DB11" s="10" t="s">
        <v>298</v>
      </c>
      <c r="DC11" s="10" t="s">
        <v>298</v>
      </c>
      <c r="DD11" s="10" t="s">
        <v>298</v>
      </c>
      <c r="DE11" s="10" t="s">
        <v>299</v>
      </c>
      <c r="DF11" s="10" t="s">
        <v>298</v>
      </c>
      <c r="DG11" s="10" t="s">
        <v>298</v>
      </c>
      <c r="DH11" s="10" t="s">
        <v>298</v>
      </c>
      <c r="DI11" s="10" t="s">
        <v>298</v>
      </c>
      <c r="DJ11" s="1" t="s">
        <v>451</v>
      </c>
      <c r="DK11" s="1" t="s">
        <v>452</v>
      </c>
      <c r="DL11" s="1">
        <f>20*100/328+(328-246)/328*1.41</f>
        <v>6.450060975609756</v>
      </c>
      <c r="DM11" s="1">
        <f>20*100/328-(328-82)/328*1.41</f>
        <v>5.040060975609756</v>
      </c>
      <c r="DN11" s="48">
        <f>DM11/(DL11+DM11)</f>
        <v>0.43864294887443084</v>
      </c>
      <c r="DO11" s="48">
        <f>DN11-(1-DN11)</f>
        <v>-0.12271410225113838</v>
      </c>
      <c r="DP11" s="1" t="s">
        <v>453</v>
      </c>
      <c r="DQ11" s="17">
        <v>1</v>
      </c>
      <c r="DR11" s="17">
        <v>1</v>
      </c>
      <c r="DS11" s="17">
        <v>0</v>
      </c>
      <c r="DT11" s="10" t="s">
        <v>303</v>
      </c>
      <c r="DU11" s="10" t="s">
        <v>298</v>
      </c>
      <c r="DV11" s="10" t="s">
        <v>450</v>
      </c>
      <c r="DW11" s="10" t="s">
        <v>299</v>
      </c>
      <c r="DX11" s="10" t="s">
        <v>299</v>
      </c>
      <c r="DY11" s="10" t="s">
        <v>299</v>
      </c>
      <c r="DZ11" s="10" t="s">
        <v>450</v>
      </c>
      <c r="EA11" s="10"/>
      <c r="EB11" s="10" t="s">
        <v>298</v>
      </c>
      <c r="EC11" s="10" t="s">
        <v>450</v>
      </c>
      <c r="ED11" s="10" t="s">
        <v>298</v>
      </c>
      <c r="EE11" s="10" t="s">
        <v>298</v>
      </c>
      <c r="EF11" s="10" t="s">
        <v>298</v>
      </c>
      <c r="EG11" s="10" t="s">
        <v>298</v>
      </c>
      <c r="EH11" s="10" t="s">
        <v>454</v>
      </c>
      <c r="EI11" s="10" t="s">
        <v>298</v>
      </c>
      <c r="EJ11" s="10" t="s">
        <v>298</v>
      </c>
      <c r="EK11" s="10" t="s">
        <v>298</v>
      </c>
      <c r="EL11" s="10" t="s">
        <v>298</v>
      </c>
      <c r="EM11" s="10" t="s">
        <v>299</v>
      </c>
      <c r="EN11" s="10" t="s">
        <v>298</v>
      </c>
      <c r="EO11" s="10" t="s">
        <v>298</v>
      </c>
      <c r="EP11" s="10" t="s">
        <v>298</v>
      </c>
      <c r="EQ11" s="10" t="s">
        <v>298</v>
      </c>
    </row>
    <row r="12" spans="1:147" s="1" customFormat="1" ht="15" customHeight="1">
      <c r="A12" s="30" t="s">
        <v>254</v>
      </c>
      <c r="B12" s="1">
        <v>9</v>
      </c>
      <c r="C12" s="1">
        <v>8</v>
      </c>
      <c r="D12" s="1">
        <v>2006</v>
      </c>
      <c r="E12" s="1" t="s">
        <v>455</v>
      </c>
      <c r="F12" s="1" t="s">
        <v>455</v>
      </c>
      <c r="G12" s="15">
        <v>1</v>
      </c>
      <c r="H12" s="15">
        <v>1</v>
      </c>
      <c r="I12" s="15">
        <v>1</v>
      </c>
      <c r="J12" s="1" t="s">
        <v>456</v>
      </c>
      <c r="K12" s="1" t="s">
        <v>457</v>
      </c>
      <c r="L12" s="1" t="s">
        <v>258</v>
      </c>
      <c r="M12" s="1" t="s">
        <v>458</v>
      </c>
      <c r="N12" s="1">
        <v>95</v>
      </c>
      <c r="O12" s="1" t="s">
        <v>260</v>
      </c>
      <c r="P12" s="1" t="s">
        <v>261</v>
      </c>
      <c r="Q12" s="1" t="s">
        <v>262</v>
      </c>
      <c r="R12" s="1" t="s">
        <v>1730</v>
      </c>
      <c r="S12" s="1" t="s">
        <v>263</v>
      </c>
      <c r="T12" s="1" t="s">
        <v>264</v>
      </c>
      <c r="U12" s="1" t="s">
        <v>265</v>
      </c>
      <c r="V12" s="1" t="s">
        <v>266</v>
      </c>
      <c r="W12" t="s">
        <v>267</v>
      </c>
      <c r="X12" s="10">
        <v>7.08</v>
      </c>
      <c r="Y12" s="10">
        <v>2.14</v>
      </c>
      <c r="Z12" s="10">
        <v>1.94</v>
      </c>
      <c r="AA12" s="10">
        <v>435</v>
      </c>
      <c r="AB12" s="1" t="s">
        <v>459</v>
      </c>
      <c r="AC12" s="1">
        <v>1992</v>
      </c>
      <c r="AD12" s="1">
        <v>2000</v>
      </c>
      <c r="AE12" s="6">
        <f>30/435*100</f>
        <v>6.896551724137931</v>
      </c>
      <c r="AF12" s="1" t="s">
        <v>269</v>
      </c>
      <c r="AG12" s="1" t="s">
        <v>270</v>
      </c>
      <c r="AH12" s="1" t="s">
        <v>460</v>
      </c>
      <c r="AI12" s="1" t="s">
        <v>272</v>
      </c>
      <c r="AJ12" s="1" t="s">
        <v>461</v>
      </c>
      <c r="AK12" s="1" t="s">
        <v>274</v>
      </c>
      <c r="AL12" s="1" t="s">
        <v>275</v>
      </c>
      <c r="AM12" s="1" t="s">
        <v>276</v>
      </c>
      <c r="AN12" s="10" t="s">
        <v>277</v>
      </c>
      <c r="AO12" s="17">
        <v>1</v>
      </c>
      <c r="AP12" s="17">
        <v>15</v>
      </c>
      <c r="AQ12" s="17">
        <v>30</v>
      </c>
      <c r="AR12" s="17">
        <v>13</v>
      </c>
      <c r="AS12" s="17">
        <v>12</v>
      </c>
      <c r="AT12" s="17" t="s">
        <v>278</v>
      </c>
      <c r="AU12" s="17" t="s">
        <v>278</v>
      </c>
      <c r="AV12" s="17" t="s">
        <v>278</v>
      </c>
      <c r="AW12" t="s">
        <v>462</v>
      </c>
      <c r="AX12" s="1" t="s">
        <v>463</v>
      </c>
      <c r="AY12" s="1" t="s">
        <v>464</v>
      </c>
      <c r="AZ12" t="s">
        <v>465</v>
      </c>
      <c r="BA12" t="s">
        <v>284</v>
      </c>
      <c r="BB12" s="2" t="s">
        <v>277</v>
      </c>
      <c r="BC12" s="2" t="s">
        <v>289</v>
      </c>
      <c r="BD12" s="1" t="s">
        <v>466</v>
      </c>
      <c r="BE12" s="3" t="s">
        <v>467</v>
      </c>
      <c r="BF12" s="1" t="s">
        <v>468</v>
      </c>
      <c r="BG12" s="3" t="s">
        <v>284</v>
      </c>
      <c r="BH12" s="2" t="s">
        <v>277</v>
      </c>
      <c r="BI12" s="2" t="s">
        <v>284</v>
      </c>
      <c r="BJ12" s="2" t="s">
        <v>277</v>
      </c>
      <c r="BK12" s="2" t="s">
        <v>284</v>
      </c>
      <c r="BL12" s="2" t="s">
        <v>277</v>
      </c>
      <c r="BM12" t="s">
        <v>284</v>
      </c>
      <c r="BN12" s="2" t="s">
        <v>277</v>
      </c>
      <c r="BO12" s="2" t="s">
        <v>289</v>
      </c>
      <c r="BP12" s="1" t="s">
        <v>469</v>
      </c>
      <c r="BQ12" s="2" t="s">
        <v>470</v>
      </c>
      <c r="BR12" s="1" t="s">
        <v>471</v>
      </c>
      <c r="BS12" s="2" t="s">
        <v>362</v>
      </c>
      <c r="BT12" s="2" t="s">
        <v>277</v>
      </c>
      <c r="BU12" s="2" t="s">
        <v>284</v>
      </c>
      <c r="BV12" s="2" t="s">
        <v>277</v>
      </c>
      <c r="BW12" s="1" t="s">
        <v>284</v>
      </c>
      <c r="BX12" s="1" t="s">
        <v>277</v>
      </c>
      <c r="BY12" s="2" t="s">
        <v>284</v>
      </c>
      <c r="BZ12" s="2" t="s">
        <v>277</v>
      </c>
      <c r="CA12" s="2" t="s">
        <v>277</v>
      </c>
      <c r="CB12" s="1" t="s">
        <v>472</v>
      </c>
      <c r="CC12" s="1" t="s">
        <v>473</v>
      </c>
      <c r="CD12" s="48">
        <v>41</v>
      </c>
      <c r="CE12" s="48">
        <v>70</v>
      </c>
      <c r="CF12" s="48">
        <f t="shared" si="0"/>
        <v>0.6306306306306306</v>
      </c>
      <c r="CG12" s="48">
        <f>IF(Data!$CB12="NA",".",Data!$CF12-(1-Data!$CF12))</f>
        <v>0.26126126126126126</v>
      </c>
      <c r="CH12" s="1" t="s">
        <v>474</v>
      </c>
      <c r="CI12" s="17">
        <v>0</v>
      </c>
      <c r="CJ12" s="17">
        <v>0</v>
      </c>
      <c r="CK12" s="17">
        <v>0</v>
      </c>
      <c r="CL12" s="10" t="s">
        <v>303</v>
      </c>
      <c r="CM12" s="10" t="s">
        <v>298</v>
      </c>
      <c r="CN12" s="10" t="s">
        <v>299</v>
      </c>
      <c r="CO12" s="10" t="s">
        <v>299</v>
      </c>
      <c r="CP12" s="10" t="s">
        <v>299</v>
      </c>
      <c r="CQ12" s="10" t="s">
        <v>298</v>
      </c>
      <c r="CR12" s="10" t="s">
        <v>298</v>
      </c>
      <c r="CS12" s="10" t="s">
        <v>298</v>
      </c>
      <c r="CT12" s="10" t="s">
        <v>298</v>
      </c>
      <c r="CU12" s="10" t="s">
        <v>298</v>
      </c>
      <c r="CV12" s="10" t="s">
        <v>298</v>
      </c>
      <c r="CW12" s="10" t="s">
        <v>298</v>
      </c>
      <c r="CX12" s="10" t="s">
        <v>298</v>
      </c>
      <c r="CY12" s="10" t="s">
        <v>298</v>
      </c>
      <c r="CZ12" s="10" t="s">
        <v>300</v>
      </c>
      <c r="DA12" s="10" t="s">
        <v>298</v>
      </c>
      <c r="DB12" s="10" t="s">
        <v>298</v>
      </c>
      <c r="DC12" s="10" t="s">
        <v>298</v>
      </c>
      <c r="DD12" s="10" t="s">
        <v>298</v>
      </c>
      <c r="DE12" s="10" t="s">
        <v>298</v>
      </c>
      <c r="DF12" s="10" t="s">
        <v>298</v>
      </c>
      <c r="DG12" s="10" t="s">
        <v>298</v>
      </c>
      <c r="DH12" s="10" t="s">
        <v>298</v>
      </c>
      <c r="DI12" s="10"/>
      <c r="DJ12" s="1" t="s">
        <v>472</v>
      </c>
      <c r="DK12" s="1" t="s">
        <v>475</v>
      </c>
      <c r="DL12" s="48" t="s">
        <v>278</v>
      </c>
      <c r="DM12" s="48" t="s">
        <v>278</v>
      </c>
      <c r="DN12" s="48" t="s">
        <v>278</v>
      </c>
      <c r="DO12" s="48">
        <v>0.089</v>
      </c>
      <c r="DP12" s="1" t="s">
        <v>277</v>
      </c>
      <c r="DQ12" s="17">
        <v>0</v>
      </c>
      <c r="DR12" s="17">
        <v>1</v>
      </c>
      <c r="DS12" s="17">
        <v>0</v>
      </c>
      <c r="DT12" s="10" t="s">
        <v>303</v>
      </c>
      <c r="DU12" s="10" t="s">
        <v>298</v>
      </c>
      <c r="DV12" s="10" t="s">
        <v>299</v>
      </c>
      <c r="DW12" s="10" t="s">
        <v>299</v>
      </c>
      <c r="DX12" s="10" t="s">
        <v>299</v>
      </c>
      <c r="DY12" s="10" t="s">
        <v>298</v>
      </c>
      <c r="DZ12" s="10" t="s">
        <v>298</v>
      </c>
      <c r="EA12" s="10"/>
      <c r="EB12" s="10" t="s">
        <v>304</v>
      </c>
      <c r="EC12" s="10" t="s">
        <v>450</v>
      </c>
      <c r="ED12" s="10" t="s">
        <v>298</v>
      </c>
      <c r="EE12" s="10" t="s">
        <v>298</v>
      </c>
      <c r="EF12" s="10" t="s">
        <v>298</v>
      </c>
      <c r="EG12" s="10" t="s">
        <v>298</v>
      </c>
      <c r="EH12" s="10" t="s">
        <v>300</v>
      </c>
      <c r="EI12" s="10" t="s">
        <v>298</v>
      </c>
      <c r="EJ12" s="10" t="s">
        <v>298</v>
      </c>
      <c r="EK12" s="10" t="s">
        <v>298</v>
      </c>
      <c r="EL12" s="10" t="s">
        <v>298</v>
      </c>
      <c r="EM12" s="10" t="s">
        <v>298</v>
      </c>
      <c r="EN12" s="10" t="s">
        <v>298</v>
      </c>
      <c r="EO12" s="10" t="s">
        <v>298</v>
      </c>
      <c r="EP12" s="10" t="s">
        <v>298</v>
      </c>
      <c r="EQ12" s="10" t="s">
        <v>298</v>
      </c>
    </row>
    <row r="13" spans="1:147" s="1" customFormat="1" ht="15" customHeight="1">
      <c r="A13" s="30" t="s">
        <v>254</v>
      </c>
      <c r="B13" s="1">
        <v>10</v>
      </c>
      <c r="C13" s="1">
        <v>8</v>
      </c>
      <c r="D13" s="1">
        <v>2006</v>
      </c>
      <c r="E13" s="1" t="s">
        <v>455</v>
      </c>
      <c r="F13" s="1" t="s">
        <v>455</v>
      </c>
      <c r="G13" s="15">
        <v>1</v>
      </c>
      <c r="H13" s="15">
        <v>1</v>
      </c>
      <c r="I13" s="15">
        <v>1</v>
      </c>
      <c r="J13" s="1" t="s">
        <v>456</v>
      </c>
      <c r="K13" s="1" t="s">
        <v>457</v>
      </c>
      <c r="L13" s="1" t="s">
        <v>258</v>
      </c>
      <c r="M13" s="1" t="s">
        <v>458</v>
      </c>
      <c r="N13" s="1">
        <v>95</v>
      </c>
      <c r="O13" s="1" t="s">
        <v>260</v>
      </c>
      <c r="P13" s="1" t="s">
        <v>261</v>
      </c>
      <c r="Q13" s="1" t="s">
        <v>324</v>
      </c>
      <c r="R13" s="1" t="s">
        <v>324</v>
      </c>
      <c r="S13" s="1" t="s">
        <v>325</v>
      </c>
      <c r="T13" s="1" t="s">
        <v>326</v>
      </c>
      <c r="U13" s="1" t="s">
        <v>265</v>
      </c>
      <c r="V13" s="1" t="s">
        <v>266</v>
      </c>
      <c r="W13" t="s">
        <v>267</v>
      </c>
      <c r="X13" s="10">
        <v>7.08</v>
      </c>
      <c r="Y13" s="10">
        <v>2.14</v>
      </c>
      <c r="Z13" s="10">
        <v>1.94</v>
      </c>
      <c r="AA13" s="10">
        <v>435</v>
      </c>
      <c r="AB13" s="1" t="s">
        <v>476</v>
      </c>
      <c r="AC13" s="1">
        <v>1993</v>
      </c>
      <c r="AD13" s="1">
        <v>2000</v>
      </c>
      <c r="AE13" s="6">
        <f>48/435*100</f>
        <v>11.03448275862069</v>
      </c>
      <c r="AF13" s="1" t="s">
        <v>269</v>
      </c>
      <c r="AG13" s="1" t="s">
        <v>270</v>
      </c>
      <c r="AH13" s="1" t="s">
        <v>460</v>
      </c>
      <c r="AI13" s="1" t="s">
        <v>272</v>
      </c>
      <c r="AJ13" s="1" t="s">
        <v>461</v>
      </c>
      <c r="AK13" s="1" t="s">
        <v>274</v>
      </c>
      <c r="AL13" s="1" t="s">
        <v>275</v>
      </c>
      <c r="AM13" s="1" t="s">
        <v>276</v>
      </c>
      <c r="AN13" s="10" t="s">
        <v>277</v>
      </c>
      <c r="AO13" s="17">
        <v>1</v>
      </c>
      <c r="AP13" s="17">
        <v>11</v>
      </c>
      <c r="AQ13" s="17">
        <v>22</v>
      </c>
      <c r="AR13" s="17">
        <v>7</v>
      </c>
      <c r="AS13" s="17">
        <v>10</v>
      </c>
      <c r="AT13" s="17" t="s">
        <v>278</v>
      </c>
      <c r="AU13" s="17" t="s">
        <v>278</v>
      </c>
      <c r="AV13" s="17" t="s">
        <v>278</v>
      </c>
      <c r="AW13" t="s">
        <v>462</v>
      </c>
      <c r="AX13" s="1" t="s">
        <v>463</v>
      </c>
      <c r="AY13" s="1" t="s">
        <v>464</v>
      </c>
      <c r="AZ13" s="1" t="s">
        <v>465</v>
      </c>
      <c r="BA13" t="s">
        <v>284</v>
      </c>
      <c r="BB13" s="2" t="s">
        <v>277</v>
      </c>
      <c r="BC13" s="2" t="s">
        <v>289</v>
      </c>
      <c r="BD13" s="14" t="s">
        <v>477</v>
      </c>
      <c r="BE13" s="3" t="s">
        <v>287</v>
      </c>
      <c r="BF13" s="1" t="s">
        <v>478</v>
      </c>
      <c r="BG13" s="3" t="s">
        <v>284</v>
      </c>
      <c r="BH13" s="2" t="s">
        <v>277</v>
      </c>
      <c r="BI13" s="2" t="s">
        <v>284</v>
      </c>
      <c r="BJ13" s="2" t="s">
        <v>277</v>
      </c>
      <c r="BK13" s="2" t="s">
        <v>284</v>
      </c>
      <c r="BL13" s="2" t="s">
        <v>277</v>
      </c>
      <c r="BM13" t="s">
        <v>284</v>
      </c>
      <c r="BN13" s="2" t="s">
        <v>277</v>
      </c>
      <c r="BO13" s="2" t="s">
        <v>479</v>
      </c>
      <c r="BP13" s="1" t="s">
        <v>480</v>
      </c>
      <c r="BQ13" s="2" t="s">
        <v>336</v>
      </c>
      <c r="BR13" s="1" t="s">
        <v>471</v>
      </c>
      <c r="BS13" s="2" t="s">
        <v>362</v>
      </c>
      <c r="BT13" s="2" t="s">
        <v>277</v>
      </c>
      <c r="BU13" s="2" t="s">
        <v>284</v>
      </c>
      <c r="BV13" s="2" t="s">
        <v>277</v>
      </c>
      <c r="BW13" s="1" t="s">
        <v>284</v>
      </c>
      <c r="BX13" s="1" t="s">
        <v>277</v>
      </c>
      <c r="BY13" s="2" t="s">
        <v>284</v>
      </c>
      <c r="BZ13" s="2" t="s">
        <v>277</v>
      </c>
      <c r="CA13" s="2" t="s">
        <v>277</v>
      </c>
      <c r="CB13" s="1" t="s">
        <v>472</v>
      </c>
      <c r="CC13" s="1" t="s">
        <v>481</v>
      </c>
      <c r="CD13" s="48">
        <v>82</v>
      </c>
      <c r="CE13" s="48">
        <v>103</v>
      </c>
      <c r="CF13" s="48">
        <f t="shared" si="0"/>
        <v>0.5567567567567567</v>
      </c>
      <c r="CG13" s="48">
        <f>IF(Data!$CB13="NA",".",Data!$CF13-(1-Data!$CF13))</f>
        <v>0.11351351351351346</v>
      </c>
      <c r="CH13" s="1" t="s">
        <v>474</v>
      </c>
      <c r="CI13" s="17">
        <v>0</v>
      </c>
      <c r="CJ13" s="17">
        <v>0</v>
      </c>
      <c r="CK13" s="17">
        <v>0</v>
      </c>
      <c r="CL13" s="10" t="s">
        <v>303</v>
      </c>
      <c r="CM13" s="10" t="s">
        <v>298</v>
      </c>
      <c r="CN13" s="10" t="s">
        <v>299</v>
      </c>
      <c r="CO13" s="10" t="s">
        <v>299</v>
      </c>
      <c r="CP13" s="10" t="s">
        <v>299</v>
      </c>
      <c r="CQ13" s="10" t="s">
        <v>298</v>
      </c>
      <c r="CR13" s="10" t="s">
        <v>298</v>
      </c>
      <c r="CS13" s="10" t="s">
        <v>298</v>
      </c>
      <c r="CT13" s="10" t="s">
        <v>298</v>
      </c>
      <c r="CU13" s="10" t="s">
        <v>298</v>
      </c>
      <c r="CV13" s="10" t="s">
        <v>298</v>
      </c>
      <c r="CW13" s="10" t="s">
        <v>298</v>
      </c>
      <c r="CX13" s="10" t="s">
        <v>298</v>
      </c>
      <c r="CY13" s="10" t="s">
        <v>298</v>
      </c>
      <c r="CZ13" s="10" t="s">
        <v>300</v>
      </c>
      <c r="DA13" s="10" t="s">
        <v>298</v>
      </c>
      <c r="DB13" s="10" t="s">
        <v>298</v>
      </c>
      <c r="DC13" s="10" t="s">
        <v>298</v>
      </c>
      <c r="DD13" s="10" t="s">
        <v>298</v>
      </c>
      <c r="DE13" s="10" t="s">
        <v>298</v>
      </c>
      <c r="DF13" s="10" t="s">
        <v>298</v>
      </c>
      <c r="DG13" s="10" t="s">
        <v>298</v>
      </c>
      <c r="DH13" s="10" t="s">
        <v>298</v>
      </c>
      <c r="DI13" s="10"/>
      <c r="DJ13" s="1" t="s">
        <v>472</v>
      </c>
      <c r="DK13" s="1" t="s">
        <v>482</v>
      </c>
      <c r="DL13" s="48" t="s">
        <v>278</v>
      </c>
      <c r="DM13" s="48" t="s">
        <v>278</v>
      </c>
      <c r="DN13" s="48" t="s">
        <v>278</v>
      </c>
      <c r="DO13" s="48">
        <v>0.095</v>
      </c>
      <c r="DP13" s="1" t="s">
        <v>277</v>
      </c>
      <c r="DQ13" s="17">
        <v>0</v>
      </c>
      <c r="DR13" s="17">
        <v>1</v>
      </c>
      <c r="DS13" s="17">
        <v>0</v>
      </c>
      <c r="DT13" s="10" t="s">
        <v>303</v>
      </c>
      <c r="DU13" s="10" t="s">
        <v>298</v>
      </c>
      <c r="DV13" s="10" t="s">
        <v>299</v>
      </c>
      <c r="DW13" s="10" t="s">
        <v>299</v>
      </c>
      <c r="DX13" s="10" t="s">
        <v>299</v>
      </c>
      <c r="DY13" s="10" t="s">
        <v>298</v>
      </c>
      <c r="DZ13" s="10" t="s">
        <v>298</v>
      </c>
      <c r="EA13" s="10"/>
      <c r="EB13" s="10" t="s">
        <v>304</v>
      </c>
      <c r="EC13" s="10" t="s">
        <v>450</v>
      </c>
      <c r="ED13" s="10" t="s">
        <v>298</v>
      </c>
      <c r="EE13" s="10" t="s">
        <v>298</v>
      </c>
      <c r="EF13" s="10" t="s">
        <v>298</v>
      </c>
      <c r="EG13" s="10" t="s">
        <v>298</v>
      </c>
      <c r="EH13" s="10" t="s">
        <v>300</v>
      </c>
      <c r="EI13" s="10" t="s">
        <v>298</v>
      </c>
      <c r="EJ13" s="10" t="s">
        <v>298</v>
      </c>
      <c r="EK13" s="10" t="s">
        <v>298</v>
      </c>
      <c r="EL13" s="10" t="s">
        <v>298</v>
      </c>
      <c r="EM13" s="10" t="s">
        <v>298</v>
      </c>
      <c r="EN13" s="10" t="s">
        <v>298</v>
      </c>
      <c r="EO13" s="10" t="s">
        <v>298</v>
      </c>
      <c r="EP13" s="10" t="s">
        <v>298</v>
      </c>
      <c r="EQ13" s="10" t="s">
        <v>298</v>
      </c>
    </row>
    <row r="14" spans="1:147" s="1" customFormat="1" ht="15" customHeight="1">
      <c r="A14" s="30" t="s">
        <v>254</v>
      </c>
      <c r="B14" s="1">
        <v>11</v>
      </c>
      <c r="C14" s="1">
        <v>9</v>
      </c>
      <c r="D14" s="1">
        <v>2008</v>
      </c>
      <c r="E14" s="1" t="s">
        <v>483</v>
      </c>
      <c r="F14" s="1" t="s">
        <v>484</v>
      </c>
      <c r="G14" s="15">
        <v>2</v>
      </c>
      <c r="H14" s="15">
        <v>2</v>
      </c>
      <c r="I14" s="15">
        <v>1</v>
      </c>
      <c r="J14" s="1" t="s">
        <v>485</v>
      </c>
      <c r="K14" s="1" t="s">
        <v>428</v>
      </c>
      <c r="L14" s="1" t="s">
        <v>258</v>
      </c>
      <c r="M14" s="1" t="s">
        <v>486</v>
      </c>
      <c r="N14" s="1">
        <v>114</v>
      </c>
      <c r="O14" s="1" t="s">
        <v>260</v>
      </c>
      <c r="P14" s="1" t="s">
        <v>261</v>
      </c>
      <c r="Q14" s="1" t="s">
        <v>487</v>
      </c>
      <c r="R14" s="1" t="s">
        <v>1733</v>
      </c>
      <c r="S14" s="1" t="s">
        <v>263</v>
      </c>
      <c r="T14" s="1" t="s">
        <v>264</v>
      </c>
      <c r="U14" s="1" t="s">
        <v>265</v>
      </c>
      <c r="V14" s="1" t="s">
        <v>266</v>
      </c>
      <c r="W14" t="s">
        <v>267</v>
      </c>
      <c r="X14" s="10">
        <v>1.57</v>
      </c>
      <c r="Y14" s="10">
        <v>2.1</v>
      </c>
      <c r="Z14" s="10">
        <v>1.99</v>
      </c>
      <c r="AA14" s="10">
        <v>435</v>
      </c>
      <c r="AB14" s="1">
        <v>2006</v>
      </c>
      <c r="AC14" s="1">
        <v>2006</v>
      </c>
      <c r="AD14" s="1">
        <v>2006</v>
      </c>
      <c r="AE14" s="1">
        <v>16.3</v>
      </c>
      <c r="AF14" s="1" t="s">
        <v>269</v>
      </c>
      <c r="AG14" s="1" t="s">
        <v>270</v>
      </c>
      <c r="AH14" s="1" t="s">
        <v>488</v>
      </c>
      <c r="AI14" s="1" t="s">
        <v>272</v>
      </c>
      <c r="AJ14" s="1" t="s">
        <v>489</v>
      </c>
      <c r="AK14" s="1" t="s">
        <v>373</v>
      </c>
      <c r="AL14" s="1" t="s">
        <v>490</v>
      </c>
      <c r="AM14" s="1" t="s">
        <v>375</v>
      </c>
      <c r="AN14" s="10" t="s">
        <v>277</v>
      </c>
      <c r="AO14" s="17">
        <v>1</v>
      </c>
      <c r="AP14" s="18" t="s">
        <v>278</v>
      </c>
      <c r="AQ14" s="17">
        <f>146+41</f>
        <v>187</v>
      </c>
      <c r="AR14" s="17">
        <v>41</v>
      </c>
      <c r="AS14" s="17">
        <v>1</v>
      </c>
      <c r="AT14" s="17">
        <v>157</v>
      </c>
      <c r="AU14" s="17">
        <v>157</v>
      </c>
      <c r="AV14" s="17">
        <v>426</v>
      </c>
      <c r="AW14" t="s">
        <v>351</v>
      </c>
      <c r="AX14" s="1" t="s">
        <v>491</v>
      </c>
      <c r="AY14" s="1" t="s">
        <v>330</v>
      </c>
      <c r="AZ14" s="1" t="s">
        <v>492</v>
      </c>
      <c r="BA14" t="s">
        <v>289</v>
      </c>
      <c r="BB14" s="1" t="s">
        <v>493</v>
      </c>
      <c r="BC14" s="2" t="s">
        <v>289</v>
      </c>
      <c r="BD14" s="1" t="s">
        <v>494</v>
      </c>
      <c r="BE14" s="3" t="s">
        <v>284</v>
      </c>
      <c r="BF14" s="2" t="s">
        <v>277</v>
      </c>
      <c r="BG14" s="3" t="s">
        <v>289</v>
      </c>
      <c r="BH14" s="1" t="s">
        <v>495</v>
      </c>
      <c r="BI14" s="2" t="s">
        <v>284</v>
      </c>
      <c r="BJ14" s="2" t="s">
        <v>277</v>
      </c>
      <c r="BK14" s="2" t="s">
        <v>284</v>
      </c>
      <c r="BL14" s="2" t="s">
        <v>277</v>
      </c>
      <c r="BM14" t="s">
        <v>284</v>
      </c>
      <c r="BN14" s="2" t="s">
        <v>277</v>
      </c>
      <c r="BO14" s="2" t="s">
        <v>284</v>
      </c>
      <c r="BP14" s="2" t="s">
        <v>277</v>
      </c>
      <c r="BQ14" s="2" t="s">
        <v>291</v>
      </c>
      <c r="BR14" s="1" t="s">
        <v>496</v>
      </c>
      <c r="BS14" s="2" t="s">
        <v>293</v>
      </c>
      <c r="BT14" s="1" t="s">
        <v>497</v>
      </c>
      <c r="BU14" s="2" t="s">
        <v>284</v>
      </c>
      <c r="BV14" s="2" t="s">
        <v>277</v>
      </c>
      <c r="BW14" s="1" t="s">
        <v>284</v>
      </c>
      <c r="BX14" s="1" t="s">
        <v>277</v>
      </c>
      <c r="BY14" s="2" t="s">
        <v>284</v>
      </c>
      <c r="BZ14" s="2" t="s">
        <v>277</v>
      </c>
      <c r="CA14" s="2" t="s">
        <v>277</v>
      </c>
      <c r="CB14" s="1" t="s">
        <v>498</v>
      </c>
      <c r="CC14" s="1" t="s">
        <v>499</v>
      </c>
      <c r="CD14" s="48">
        <f>146/748</f>
        <v>0.19518716577540107</v>
      </c>
      <c r="CE14" s="48">
        <f>41/151</f>
        <v>0.271523178807947</v>
      </c>
      <c r="CF14" s="48">
        <f t="shared" si="0"/>
        <v>0.5817809310619569</v>
      </c>
      <c r="CG14" s="48">
        <f>IF(Data!$CB14="NA",".",Data!$CF14-(1-Data!$CF14))</f>
        <v>0.16356186212391388</v>
      </c>
      <c r="CH14" s="1" t="s">
        <v>500</v>
      </c>
      <c r="CI14" s="17">
        <v>0</v>
      </c>
      <c r="CJ14" s="17">
        <v>1</v>
      </c>
      <c r="CK14" s="17">
        <v>1</v>
      </c>
      <c r="CL14" s="10" t="s">
        <v>303</v>
      </c>
      <c r="CM14" s="10" t="s">
        <v>298</v>
      </c>
      <c r="CN14" s="10" t="s">
        <v>299</v>
      </c>
      <c r="CO14" s="10" t="s">
        <v>298</v>
      </c>
      <c r="CP14" s="10" t="s">
        <v>299</v>
      </c>
      <c r="CQ14" s="10" t="s">
        <v>298</v>
      </c>
      <c r="CR14" s="10" t="s">
        <v>298</v>
      </c>
      <c r="CS14" s="10" t="s">
        <v>298</v>
      </c>
      <c r="CT14" s="10" t="s">
        <v>298</v>
      </c>
      <c r="CU14" s="10" t="s">
        <v>298</v>
      </c>
      <c r="CV14" s="10" t="s">
        <v>298</v>
      </c>
      <c r="CW14" s="10" t="s">
        <v>298</v>
      </c>
      <c r="CX14" s="10" t="s">
        <v>298</v>
      </c>
      <c r="CY14" s="10" t="s">
        <v>298</v>
      </c>
      <c r="CZ14" s="10" t="s">
        <v>300</v>
      </c>
      <c r="DA14" s="10" t="s">
        <v>298</v>
      </c>
      <c r="DB14" s="10" t="s">
        <v>298</v>
      </c>
      <c r="DC14" s="10" t="s">
        <v>298</v>
      </c>
      <c r="DD14" s="10" t="s">
        <v>298</v>
      </c>
      <c r="DE14" s="10" t="s">
        <v>298</v>
      </c>
      <c r="DF14" s="10" t="s">
        <v>298</v>
      </c>
      <c r="DG14" s="10" t="s">
        <v>298</v>
      </c>
      <c r="DH14" s="10" t="s">
        <v>298</v>
      </c>
      <c r="DI14" s="10" t="s">
        <v>298</v>
      </c>
      <c r="DJ14" s="1" t="s">
        <v>277</v>
      </c>
      <c r="DK14" s="1" t="s">
        <v>277</v>
      </c>
      <c r="DL14" s="48" t="s">
        <v>278</v>
      </c>
      <c r="DM14" s="48" t="s">
        <v>278</v>
      </c>
      <c r="DN14" s="48" t="s">
        <v>278</v>
      </c>
      <c r="DO14" s="48" t="s">
        <v>278</v>
      </c>
      <c r="DP14" s="1" t="s">
        <v>277</v>
      </c>
      <c r="DQ14" s="17" t="s">
        <v>278</v>
      </c>
      <c r="DR14" s="17" t="s">
        <v>278</v>
      </c>
      <c r="DS14" s="17" t="s">
        <v>278</v>
      </c>
      <c r="DT14" s="1" t="s">
        <v>277</v>
      </c>
      <c r="DU14" s="1" t="s">
        <v>277</v>
      </c>
      <c r="DV14" s="1" t="s">
        <v>277</v>
      </c>
      <c r="DW14" s="1" t="s">
        <v>277</v>
      </c>
      <c r="DX14" s="1" t="s">
        <v>277</v>
      </c>
      <c r="DY14" s="1" t="s">
        <v>277</v>
      </c>
      <c r="DZ14" s="1" t="s">
        <v>277</v>
      </c>
      <c r="EA14" s="1" t="s">
        <v>277</v>
      </c>
      <c r="EB14" s="1" t="s">
        <v>277</v>
      </c>
      <c r="EC14" s="1" t="s">
        <v>277</v>
      </c>
      <c r="ED14" s="1" t="s">
        <v>277</v>
      </c>
      <c r="EE14" s="1" t="s">
        <v>277</v>
      </c>
      <c r="EF14" s="1" t="s">
        <v>277</v>
      </c>
      <c r="EG14" s="1" t="s">
        <v>277</v>
      </c>
      <c r="EH14" s="1" t="s">
        <v>277</v>
      </c>
      <c r="EI14" s="1" t="s">
        <v>277</v>
      </c>
      <c r="EJ14" s="1" t="s">
        <v>277</v>
      </c>
      <c r="EK14" s="1" t="s">
        <v>277</v>
      </c>
      <c r="EL14" s="1" t="s">
        <v>277</v>
      </c>
      <c r="EM14" s="1" t="s">
        <v>277</v>
      </c>
      <c r="EN14" s="1" t="s">
        <v>277</v>
      </c>
      <c r="EO14" s="1" t="s">
        <v>277</v>
      </c>
      <c r="EP14" s="1" t="s">
        <v>277</v>
      </c>
      <c r="EQ14" s="1" t="s">
        <v>277</v>
      </c>
    </row>
    <row r="15" spans="1:147" s="1" customFormat="1" ht="15" customHeight="1">
      <c r="A15" s="30" t="s">
        <v>254</v>
      </c>
      <c r="B15" s="1">
        <v>12</v>
      </c>
      <c r="C15" s="1">
        <v>9</v>
      </c>
      <c r="D15" s="1">
        <v>2008</v>
      </c>
      <c r="E15" s="1" t="s">
        <v>483</v>
      </c>
      <c r="F15" s="1" t="s">
        <v>484</v>
      </c>
      <c r="G15" s="15">
        <v>2</v>
      </c>
      <c r="H15" s="15">
        <v>2</v>
      </c>
      <c r="I15" s="15">
        <v>1</v>
      </c>
      <c r="J15" s="1" t="s">
        <v>485</v>
      </c>
      <c r="K15" s="1" t="s">
        <v>428</v>
      </c>
      <c r="L15" s="1" t="s">
        <v>258</v>
      </c>
      <c r="M15" s="1" t="s">
        <v>486</v>
      </c>
      <c r="N15" s="1">
        <v>114</v>
      </c>
      <c r="O15" s="1" t="s">
        <v>501</v>
      </c>
      <c r="P15" s="1" t="s">
        <v>502</v>
      </c>
      <c r="Q15" s="1" t="s">
        <v>487</v>
      </c>
      <c r="R15" s="1" t="s">
        <v>1733</v>
      </c>
      <c r="S15" s="1" t="s">
        <v>263</v>
      </c>
      <c r="T15" s="1" t="s">
        <v>264</v>
      </c>
      <c r="U15" s="1" t="s">
        <v>265</v>
      </c>
      <c r="V15" s="1" t="s">
        <v>503</v>
      </c>
      <c r="W15" t="s">
        <v>267</v>
      </c>
      <c r="X15" s="10">
        <v>8.61</v>
      </c>
      <c r="Y15" s="10">
        <v>3.75</v>
      </c>
      <c r="Z15" s="10">
        <v>3.22</v>
      </c>
      <c r="AA15" s="10">
        <v>308</v>
      </c>
      <c r="AB15" s="1">
        <v>2006</v>
      </c>
      <c r="AC15" s="1">
        <v>2006</v>
      </c>
      <c r="AD15" s="1">
        <v>2006</v>
      </c>
      <c r="AE15" s="1">
        <v>20.8</v>
      </c>
      <c r="AF15" s="1" t="s">
        <v>269</v>
      </c>
      <c r="AG15" s="1" t="s">
        <v>270</v>
      </c>
      <c r="AH15" s="1" t="s">
        <v>488</v>
      </c>
      <c r="AI15" s="1" t="s">
        <v>272</v>
      </c>
      <c r="AJ15" s="1" t="s">
        <v>504</v>
      </c>
      <c r="AK15" s="1" t="s">
        <v>373</v>
      </c>
      <c r="AL15" s="1" t="s">
        <v>490</v>
      </c>
      <c r="AM15" s="1" t="s">
        <v>375</v>
      </c>
      <c r="AN15" s="10" t="s">
        <v>277</v>
      </c>
      <c r="AO15" s="17">
        <v>1</v>
      </c>
      <c r="AP15" s="18" t="s">
        <v>278</v>
      </c>
      <c r="AQ15" s="17">
        <f>106+42</f>
        <v>148</v>
      </c>
      <c r="AR15" s="17">
        <v>42</v>
      </c>
      <c r="AS15" s="17">
        <v>1</v>
      </c>
      <c r="AT15" s="17">
        <v>129</v>
      </c>
      <c r="AU15" s="17">
        <v>129</v>
      </c>
      <c r="AV15" s="17">
        <v>417</v>
      </c>
      <c r="AW15" t="s">
        <v>351</v>
      </c>
      <c r="AX15" s="1" t="s">
        <v>491</v>
      </c>
      <c r="AY15" s="1" t="s">
        <v>330</v>
      </c>
      <c r="AZ15" s="1" t="s">
        <v>492</v>
      </c>
      <c r="BA15" t="s">
        <v>289</v>
      </c>
      <c r="BB15" s="1" t="s">
        <v>493</v>
      </c>
      <c r="BC15" s="2" t="s">
        <v>289</v>
      </c>
      <c r="BD15" s="1" t="s">
        <v>494</v>
      </c>
      <c r="BE15" s="3" t="s">
        <v>284</v>
      </c>
      <c r="BF15" s="2" t="s">
        <v>277</v>
      </c>
      <c r="BG15" s="3" t="s">
        <v>289</v>
      </c>
      <c r="BH15" s="1" t="s">
        <v>495</v>
      </c>
      <c r="BI15" s="2" t="s">
        <v>284</v>
      </c>
      <c r="BJ15" s="2" t="s">
        <v>277</v>
      </c>
      <c r="BK15" s="2" t="s">
        <v>284</v>
      </c>
      <c r="BL15" s="2" t="s">
        <v>277</v>
      </c>
      <c r="BM15" t="s">
        <v>284</v>
      </c>
      <c r="BN15" s="2" t="s">
        <v>277</v>
      </c>
      <c r="BO15" s="2" t="s">
        <v>284</v>
      </c>
      <c r="BP15" s="2" t="s">
        <v>277</v>
      </c>
      <c r="BQ15" s="2" t="s">
        <v>291</v>
      </c>
      <c r="BR15" s="1" t="s">
        <v>496</v>
      </c>
      <c r="BS15" s="2" t="s">
        <v>293</v>
      </c>
      <c r="BT15" s="1" t="s">
        <v>497</v>
      </c>
      <c r="BU15" s="2" t="s">
        <v>284</v>
      </c>
      <c r="BV15" s="2" t="s">
        <v>277</v>
      </c>
      <c r="BW15" s="1" t="s">
        <v>284</v>
      </c>
      <c r="BX15" s="1" t="s">
        <v>277</v>
      </c>
      <c r="BY15" s="2" t="s">
        <v>284</v>
      </c>
      <c r="BZ15" s="2" t="s">
        <v>277</v>
      </c>
      <c r="CA15" s="2" t="s">
        <v>277</v>
      </c>
      <c r="CB15" s="1" t="s">
        <v>505</v>
      </c>
      <c r="CC15" s="1" t="s">
        <v>506</v>
      </c>
      <c r="CD15" s="48">
        <f>74/231</f>
        <v>0.3203463203463203</v>
      </c>
      <c r="CE15" s="48">
        <f>30/93</f>
        <v>0.3225806451612903</v>
      </c>
      <c r="CF15" s="48">
        <f t="shared" si="0"/>
        <v>0.501737619461338</v>
      </c>
      <c r="CG15" s="48">
        <f>IF(Data!$CB15="NA",".",Data!$CF15-(1-Data!$CF15))</f>
        <v>0.0034752389226759828</v>
      </c>
      <c r="CH15" s="1" t="s">
        <v>500</v>
      </c>
      <c r="CI15" s="17">
        <v>0</v>
      </c>
      <c r="CJ15" s="17">
        <v>1</v>
      </c>
      <c r="CK15" s="17">
        <v>1</v>
      </c>
      <c r="CL15" s="10" t="s">
        <v>303</v>
      </c>
      <c r="CM15" s="10" t="s">
        <v>298</v>
      </c>
      <c r="CN15" s="10" t="s">
        <v>299</v>
      </c>
      <c r="CO15" s="10" t="s">
        <v>298</v>
      </c>
      <c r="CP15" s="10" t="s">
        <v>299</v>
      </c>
      <c r="CQ15" s="10" t="s">
        <v>298</v>
      </c>
      <c r="CR15" s="10" t="s">
        <v>298</v>
      </c>
      <c r="CS15" s="10" t="s">
        <v>298</v>
      </c>
      <c r="CT15" s="10" t="s">
        <v>298</v>
      </c>
      <c r="CU15" s="10" t="s">
        <v>298</v>
      </c>
      <c r="CV15" s="10" t="s">
        <v>298</v>
      </c>
      <c r="CW15" s="10" t="s">
        <v>298</v>
      </c>
      <c r="CX15" s="10" t="s">
        <v>298</v>
      </c>
      <c r="CY15" s="10" t="s">
        <v>298</v>
      </c>
      <c r="CZ15" s="10" t="s">
        <v>300</v>
      </c>
      <c r="DA15" s="10" t="s">
        <v>298</v>
      </c>
      <c r="DB15" s="10" t="s">
        <v>298</v>
      </c>
      <c r="DC15" s="10" t="s">
        <v>298</v>
      </c>
      <c r="DD15" s="10" t="s">
        <v>298</v>
      </c>
      <c r="DE15" s="10" t="s">
        <v>298</v>
      </c>
      <c r="DF15" s="10" t="s">
        <v>298</v>
      </c>
      <c r="DG15" s="10" t="s">
        <v>298</v>
      </c>
      <c r="DH15" s="10" t="s">
        <v>298</v>
      </c>
      <c r="DI15" s="10" t="s">
        <v>298</v>
      </c>
      <c r="DJ15" s="1" t="s">
        <v>277</v>
      </c>
      <c r="DK15" s="1" t="s">
        <v>277</v>
      </c>
      <c r="DL15" s="18" t="s">
        <v>278</v>
      </c>
      <c r="DM15" s="18" t="s">
        <v>278</v>
      </c>
      <c r="DN15" s="48" t="s">
        <v>278</v>
      </c>
      <c r="DO15" s="48" t="s">
        <v>278</v>
      </c>
      <c r="DP15" s="1" t="s">
        <v>277</v>
      </c>
      <c r="DQ15" s="17" t="s">
        <v>278</v>
      </c>
      <c r="DR15" s="17" t="s">
        <v>278</v>
      </c>
      <c r="DS15" s="17" t="s">
        <v>278</v>
      </c>
      <c r="DT15" s="1" t="s">
        <v>277</v>
      </c>
      <c r="DU15" s="1" t="s">
        <v>277</v>
      </c>
      <c r="DV15" s="1" t="s">
        <v>277</v>
      </c>
      <c r="DW15" s="1" t="s">
        <v>277</v>
      </c>
      <c r="DX15" s="1" t="s">
        <v>277</v>
      </c>
      <c r="DY15" s="1" t="s">
        <v>277</v>
      </c>
      <c r="DZ15" s="1" t="s">
        <v>277</v>
      </c>
      <c r="EA15" s="1" t="s">
        <v>277</v>
      </c>
      <c r="EB15" s="1" t="s">
        <v>277</v>
      </c>
      <c r="EC15" s="1" t="s">
        <v>277</v>
      </c>
      <c r="ED15" s="1" t="s">
        <v>277</v>
      </c>
      <c r="EE15" s="1" t="s">
        <v>277</v>
      </c>
      <c r="EF15" s="1" t="s">
        <v>277</v>
      </c>
      <c r="EG15" s="1" t="s">
        <v>277</v>
      </c>
      <c r="EH15" s="1" t="s">
        <v>277</v>
      </c>
      <c r="EI15" s="1" t="s">
        <v>277</v>
      </c>
      <c r="EJ15" s="1" t="s">
        <v>277</v>
      </c>
      <c r="EK15" s="1" t="s">
        <v>277</v>
      </c>
      <c r="EL15" s="1" t="s">
        <v>277</v>
      </c>
      <c r="EM15" s="1" t="s">
        <v>277</v>
      </c>
      <c r="EN15" s="1" t="s">
        <v>277</v>
      </c>
      <c r="EO15" s="1" t="s">
        <v>277</v>
      </c>
      <c r="EP15" s="1" t="s">
        <v>277</v>
      </c>
      <c r="EQ15" s="1" t="s">
        <v>277</v>
      </c>
    </row>
    <row r="16" spans="1:147" s="1" customFormat="1" ht="14.25" customHeight="1">
      <c r="A16" s="30" t="s">
        <v>254</v>
      </c>
      <c r="B16" s="1">
        <v>13</v>
      </c>
      <c r="C16" s="1">
        <v>9</v>
      </c>
      <c r="D16" s="1">
        <v>2008</v>
      </c>
      <c r="E16" s="1" t="s">
        <v>483</v>
      </c>
      <c r="F16" s="1" t="s">
        <v>484</v>
      </c>
      <c r="G16" s="15">
        <v>2</v>
      </c>
      <c r="H16" s="15">
        <v>2</v>
      </c>
      <c r="I16" s="15">
        <v>1</v>
      </c>
      <c r="J16" s="1" t="s">
        <v>485</v>
      </c>
      <c r="K16" s="1" t="s">
        <v>428</v>
      </c>
      <c r="L16" s="1" t="s">
        <v>258</v>
      </c>
      <c r="M16" s="1" t="s">
        <v>486</v>
      </c>
      <c r="N16" s="1">
        <v>114</v>
      </c>
      <c r="O16" s="1" t="s">
        <v>507</v>
      </c>
      <c r="P16" s="1" t="s">
        <v>502</v>
      </c>
      <c r="Q16" s="1" t="s">
        <v>487</v>
      </c>
      <c r="R16" s="1" t="s">
        <v>1733</v>
      </c>
      <c r="S16" s="1" t="s">
        <v>263</v>
      </c>
      <c r="T16" s="1" t="s">
        <v>264</v>
      </c>
      <c r="U16" s="1" t="s">
        <v>265</v>
      </c>
      <c r="V16" s="1" t="s">
        <v>508</v>
      </c>
      <c r="W16" t="s">
        <v>267</v>
      </c>
      <c r="X16" s="10">
        <v>8.6</v>
      </c>
      <c r="Y16" s="10">
        <v>3.17</v>
      </c>
      <c r="Z16" s="10">
        <v>2.44</v>
      </c>
      <c r="AA16" s="10">
        <v>150</v>
      </c>
      <c r="AB16" s="1">
        <v>2004</v>
      </c>
      <c r="AC16" s="1">
        <v>2004</v>
      </c>
      <c r="AD16" s="1">
        <v>2004</v>
      </c>
      <c r="AE16" s="1">
        <v>24.7</v>
      </c>
      <c r="AF16" s="1" t="s">
        <v>269</v>
      </c>
      <c r="AG16" s="1" t="s">
        <v>270</v>
      </c>
      <c r="AH16" s="1" t="s">
        <v>488</v>
      </c>
      <c r="AI16" s="1" t="s">
        <v>272</v>
      </c>
      <c r="AJ16" s="1" t="s">
        <v>509</v>
      </c>
      <c r="AK16" s="1" t="s">
        <v>373</v>
      </c>
      <c r="AL16" s="1" t="s">
        <v>490</v>
      </c>
      <c r="AM16" s="1" t="s">
        <v>375</v>
      </c>
      <c r="AN16" s="10" t="s">
        <v>277</v>
      </c>
      <c r="AO16" s="17">
        <v>1</v>
      </c>
      <c r="AP16" s="18" t="s">
        <v>278</v>
      </c>
      <c r="AQ16" s="17">
        <f>74+30</f>
        <v>104</v>
      </c>
      <c r="AR16" s="17">
        <v>30</v>
      </c>
      <c r="AS16" s="17">
        <v>1</v>
      </c>
      <c r="AT16" s="17">
        <v>149</v>
      </c>
      <c r="AU16" s="17">
        <v>149</v>
      </c>
      <c r="AV16" s="17">
        <v>269</v>
      </c>
      <c r="AW16" t="s">
        <v>351</v>
      </c>
      <c r="AX16" s="1" t="s">
        <v>491</v>
      </c>
      <c r="AY16" s="1" t="s">
        <v>330</v>
      </c>
      <c r="AZ16" s="1" t="s">
        <v>492</v>
      </c>
      <c r="BA16" t="s">
        <v>289</v>
      </c>
      <c r="BB16" s="1" t="s">
        <v>493</v>
      </c>
      <c r="BC16" s="2" t="s">
        <v>289</v>
      </c>
      <c r="BD16" s="1" t="s">
        <v>494</v>
      </c>
      <c r="BE16" s="3" t="s">
        <v>284</v>
      </c>
      <c r="BF16" s="2" t="s">
        <v>277</v>
      </c>
      <c r="BG16" s="3" t="s">
        <v>289</v>
      </c>
      <c r="BH16" s="1" t="s">
        <v>495</v>
      </c>
      <c r="BI16" s="2" t="s">
        <v>284</v>
      </c>
      <c r="BJ16" s="2" t="s">
        <v>277</v>
      </c>
      <c r="BK16" s="2" t="s">
        <v>284</v>
      </c>
      <c r="BL16" s="2" t="s">
        <v>277</v>
      </c>
      <c r="BM16" t="s">
        <v>284</v>
      </c>
      <c r="BN16" s="2" t="s">
        <v>277</v>
      </c>
      <c r="BO16" s="2" t="s">
        <v>284</v>
      </c>
      <c r="BP16" s="2" t="s">
        <v>277</v>
      </c>
      <c r="BQ16" s="2" t="s">
        <v>291</v>
      </c>
      <c r="BR16" s="1" t="s">
        <v>496</v>
      </c>
      <c r="BS16" s="2" t="s">
        <v>293</v>
      </c>
      <c r="BT16" s="1" t="s">
        <v>497</v>
      </c>
      <c r="BU16" s="2" t="s">
        <v>284</v>
      </c>
      <c r="BV16" s="2" t="s">
        <v>277</v>
      </c>
      <c r="BW16" s="1" t="s">
        <v>284</v>
      </c>
      <c r="BX16" s="1" t="s">
        <v>277</v>
      </c>
      <c r="BY16" s="2" t="s">
        <v>284</v>
      </c>
      <c r="BZ16" s="2" t="s">
        <v>277</v>
      </c>
      <c r="CA16" s="2" t="s">
        <v>277</v>
      </c>
      <c r="CB16" s="1" t="s">
        <v>510</v>
      </c>
      <c r="CC16" s="1" t="s">
        <v>511</v>
      </c>
      <c r="CD16" s="48">
        <f>106/751</f>
        <v>0.1411451398135819</v>
      </c>
      <c r="CE16" s="48">
        <f>42/248</f>
        <v>0.1693548387096774</v>
      </c>
      <c r="CF16" s="48">
        <f t="shared" si="0"/>
        <v>0.5454262493515477</v>
      </c>
      <c r="CG16" s="48">
        <f>IF(Data!$CB16="NA",".",Data!$CF16-(1-Data!$CF16))</f>
        <v>0.09085249870309542</v>
      </c>
      <c r="CH16" s="1" t="s">
        <v>500</v>
      </c>
      <c r="CI16" s="17">
        <v>0</v>
      </c>
      <c r="CJ16" s="17">
        <v>1</v>
      </c>
      <c r="CK16" s="17">
        <v>1</v>
      </c>
      <c r="CL16" s="10" t="s">
        <v>303</v>
      </c>
      <c r="CM16" s="10" t="s">
        <v>298</v>
      </c>
      <c r="CN16" s="10" t="s">
        <v>299</v>
      </c>
      <c r="CO16" s="10" t="s">
        <v>298</v>
      </c>
      <c r="CP16" s="10" t="s">
        <v>299</v>
      </c>
      <c r="CQ16" s="10" t="s">
        <v>298</v>
      </c>
      <c r="CR16" s="10" t="s">
        <v>298</v>
      </c>
      <c r="CS16" s="10" t="s">
        <v>298</v>
      </c>
      <c r="CT16" s="10" t="s">
        <v>298</v>
      </c>
      <c r="CU16" s="10" t="s">
        <v>298</v>
      </c>
      <c r="CV16" s="10" t="s">
        <v>298</v>
      </c>
      <c r="CW16" s="10" t="s">
        <v>298</v>
      </c>
      <c r="CX16" s="10" t="s">
        <v>298</v>
      </c>
      <c r="CY16" s="10" t="s">
        <v>298</v>
      </c>
      <c r="CZ16" s="10" t="s">
        <v>300</v>
      </c>
      <c r="DA16" s="10" t="s">
        <v>298</v>
      </c>
      <c r="DB16" s="10" t="s">
        <v>298</v>
      </c>
      <c r="DC16" s="10" t="s">
        <v>298</v>
      </c>
      <c r="DD16" s="10" t="s">
        <v>298</v>
      </c>
      <c r="DE16" s="10" t="s">
        <v>298</v>
      </c>
      <c r="DF16" s="10" t="s">
        <v>298</v>
      </c>
      <c r="DG16" s="10" t="s">
        <v>298</v>
      </c>
      <c r="DH16" s="10" t="s">
        <v>298</v>
      </c>
      <c r="DI16" s="10" t="s">
        <v>298</v>
      </c>
      <c r="DJ16" s="1" t="s">
        <v>277</v>
      </c>
      <c r="DK16" s="1" t="s">
        <v>277</v>
      </c>
      <c r="DL16" s="18" t="s">
        <v>278</v>
      </c>
      <c r="DM16" s="18" t="s">
        <v>278</v>
      </c>
      <c r="DN16" s="48" t="s">
        <v>278</v>
      </c>
      <c r="DO16" s="48" t="s">
        <v>278</v>
      </c>
      <c r="DP16" s="1" t="s">
        <v>277</v>
      </c>
      <c r="DQ16" s="17" t="s">
        <v>278</v>
      </c>
      <c r="DR16" s="17" t="s">
        <v>278</v>
      </c>
      <c r="DS16" s="17" t="s">
        <v>278</v>
      </c>
      <c r="DT16" s="1" t="s">
        <v>277</v>
      </c>
      <c r="DU16" s="1" t="s">
        <v>277</v>
      </c>
      <c r="DV16" s="1" t="s">
        <v>277</v>
      </c>
      <c r="DW16" s="1" t="s">
        <v>277</v>
      </c>
      <c r="DX16" s="1" t="s">
        <v>277</v>
      </c>
      <c r="DY16" s="1" t="s">
        <v>277</v>
      </c>
      <c r="DZ16" s="1" t="s">
        <v>277</v>
      </c>
      <c r="EA16" s="1" t="s">
        <v>277</v>
      </c>
      <c r="EB16" s="1" t="s">
        <v>277</v>
      </c>
      <c r="EC16" s="1" t="s">
        <v>277</v>
      </c>
      <c r="ED16" s="1" t="s">
        <v>277</v>
      </c>
      <c r="EE16" s="1" t="s">
        <v>277</v>
      </c>
      <c r="EF16" s="1" t="s">
        <v>277</v>
      </c>
      <c r="EG16" s="1" t="s">
        <v>277</v>
      </c>
      <c r="EH16" s="1" t="s">
        <v>277</v>
      </c>
      <c r="EI16" s="1" t="s">
        <v>277</v>
      </c>
      <c r="EJ16" s="1" t="s">
        <v>277</v>
      </c>
      <c r="EK16" s="1" t="s">
        <v>277</v>
      </c>
      <c r="EL16" s="1" t="s">
        <v>277</v>
      </c>
      <c r="EM16" s="1" t="s">
        <v>277</v>
      </c>
      <c r="EN16" s="1" t="s">
        <v>277</v>
      </c>
      <c r="EO16" s="1" t="s">
        <v>277</v>
      </c>
      <c r="EP16" s="1" t="s">
        <v>277</v>
      </c>
      <c r="EQ16" s="1" t="s">
        <v>277</v>
      </c>
    </row>
    <row r="17" spans="1:147" s="1" customFormat="1" ht="15" customHeight="1">
      <c r="A17" s="30" t="s">
        <v>254</v>
      </c>
      <c r="B17" s="1">
        <v>14</v>
      </c>
      <c r="C17" s="1">
        <v>10</v>
      </c>
      <c r="D17" s="1">
        <v>2007</v>
      </c>
      <c r="E17" s="1" t="s">
        <v>512</v>
      </c>
      <c r="F17" s="1" t="s">
        <v>512</v>
      </c>
      <c r="G17" s="15">
        <v>1</v>
      </c>
      <c r="H17" s="15">
        <v>2</v>
      </c>
      <c r="I17" s="15">
        <v>1</v>
      </c>
      <c r="J17" s="1" t="s">
        <v>513</v>
      </c>
      <c r="K17" s="1" t="s">
        <v>514</v>
      </c>
      <c r="L17" s="1" t="s">
        <v>258</v>
      </c>
      <c r="M17" s="1" t="s">
        <v>515</v>
      </c>
      <c r="N17" s="1">
        <v>70</v>
      </c>
      <c r="O17" s="1" t="s">
        <v>260</v>
      </c>
      <c r="P17" s="1" t="s">
        <v>261</v>
      </c>
      <c r="Q17" s="1" t="s">
        <v>516</v>
      </c>
      <c r="R17" s="1" t="s">
        <v>1728</v>
      </c>
      <c r="S17" s="1" t="s">
        <v>325</v>
      </c>
      <c r="T17" s="1" t="s">
        <v>517</v>
      </c>
      <c r="U17" s="1" t="s">
        <v>265</v>
      </c>
      <c r="V17" s="1" t="s">
        <v>518</v>
      </c>
      <c r="W17" t="s">
        <v>267</v>
      </c>
      <c r="X17" s="10">
        <v>3.15</v>
      </c>
      <c r="Y17" s="10">
        <v>2.25</v>
      </c>
      <c r="Z17" s="10">
        <v>2.02</v>
      </c>
      <c r="AA17" s="10">
        <v>435</v>
      </c>
      <c r="AB17" s="1" t="s">
        <v>519</v>
      </c>
      <c r="AC17" s="1">
        <v>2000</v>
      </c>
      <c r="AD17" s="1">
        <v>2003</v>
      </c>
      <c r="AE17" s="6">
        <f>58/435*100</f>
        <v>13.333333333333334</v>
      </c>
      <c r="AF17" s="1" t="s">
        <v>269</v>
      </c>
      <c r="AG17" s="1" t="s">
        <v>270</v>
      </c>
      <c r="AH17" s="1" t="s">
        <v>520</v>
      </c>
      <c r="AI17" s="1" t="s">
        <v>272</v>
      </c>
      <c r="AJ17" s="1" t="s">
        <v>521</v>
      </c>
      <c r="AK17" s="1" t="s">
        <v>274</v>
      </c>
      <c r="AL17" s="1" t="s">
        <v>522</v>
      </c>
      <c r="AM17" s="1" t="s">
        <v>276</v>
      </c>
      <c r="AN17" s="10" t="s">
        <v>277</v>
      </c>
      <c r="AO17" s="18">
        <v>1</v>
      </c>
      <c r="AP17" s="17">
        <v>6</v>
      </c>
      <c r="AQ17" s="17">
        <v>12</v>
      </c>
      <c r="AR17" s="17">
        <v>3</v>
      </c>
      <c r="AS17" s="17">
        <v>6</v>
      </c>
      <c r="AT17" s="17">
        <f>93+95+68+76+60+84</f>
        <v>476</v>
      </c>
      <c r="AU17" s="17">
        <f>2097+1708+1489+1910+1186+1813</f>
        <v>10203</v>
      </c>
      <c r="AV17" s="17">
        <f>5432+4771</f>
        <v>10203</v>
      </c>
      <c r="AW17" t="s">
        <v>523</v>
      </c>
      <c r="AX17" s="1" t="s">
        <v>524</v>
      </c>
      <c r="AY17" s="1" t="s">
        <v>330</v>
      </c>
      <c r="AZ17" s="1" t="s">
        <v>525</v>
      </c>
      <c r="BA17" t="s">
        <v>284</v>
      </c>
      <c r="BB17" s="2" t="s">
        <v>277</v>
      </c>
      <c r="BC17" s="2" t="s">
        <v>289</v>
      </c>
      <c r="BD17" s="1" t="s">
        <v>526</v>
      </c>
      <c r="BE17" s="3" t="s">
        <v>289</v>
      </c>
      <c r="BF17" s="1" t="s">
        <v>527</v>
      </c>
      <c r="BG17" s="3" t="s">
        <v>528</v>
      </c>
      <c r="BH17" s="1" t="s">
        <v>529</v>
      </c>
      <c r="BI17" s="2" t="s">
        <v>530</v>
      </c>
      <c r="BJ17" s="1" t="s">
        <v>529</v>
      </c>
      <c r="BK17" s="2" t="s">
        <v>531</v>
      </c>
      <c r="BL17" s="14" t="s">
        <v>532</v>
      </c>
      <c r="BM17" t="s">
        <v>284</v>
      </c>
      <c r="BN17" s="2" t="s">
        <v>277</v>
      </c>
      <c r="BO17" s="2" t="s">
        <v>284</v>
      </c>
      <c r="BP17" s="1" t="s">
        <v>533</v>
      </c>
      <c r="BQ17" s="2" t="s">
        <v>336</v>
      </c>
      <c r="BR17" s="1" t="s">
        <v>534</v>
      </c>
      <c r="BS17" s="2" t="s">
        <v>336</v>
      </c>
      <c r="BT17" s="1" t="s">
        <v>535</v>
      </c>
      <c r="BU17" s="2" t="s">
        <v>284</v>
      </c>
      <c r="BV17" s="2" t="s">
        <v>277</v>
      </c>
      <c r="BW17" s="1" t="s">
        <v>284</v>
      </c>
      <c r="BX17" s="1" t="s">
        <v>277</v>
      </c>
      <c r="BY17" s="2" t="s">
        <v>284</v>
      </c>
      <c r="BZ17" s="2" t="s">
        <v>277</v>
      </c>
      <c r="CA17" s="2" t="s">
        <v>277</v>
      </c>
      <c r="CB17" s="1" t="s">
        <v>536</v>
      </c>
      <c r="CC17" s="1" t="s">
        <v>537</v>
      </c>
      <c r="CD17" s="48">
        <f>(32.44/32.21+31.98/32.21+37.33/37.1)/3</f>
        <v>1.0020664869721474</v>
      </c>
      <c r="CE17" s="48">
        <f>36.75/37.08</f>
        <v>0.9911003236245955</v>
      </c>
      <c r="CF17" s="48">
        <f t="shared" si="0"/>
        <v>0.49724906031716715</v>
      </c>
      <c r="CG17" s="48">
        <f>IF(Data!$CB17="NA",".",Data!$CF17-(1-Data!$CF17))</f>
        <v>-0.005501879365665763</v>
      </c>
      <c r="CH17" s="1" t="s">
        <v>277</v>
      </c>
      <c r="CI17" s="17">
        <v>0</v>
      </c>
      <c r="CJ17" s="17">
        <v>1</v>
      </c>
      <c r="CK17" s="17">
        <v>0</v>
      </c>
      <c r="CL17" s="10" t="s">
        <v>303</v>
      </c>
      <c r="CM17" s="10" t="s">
        <v>298</v>
      </c>
      <c r="CN17" s="10" t="s">
        <v>299</v>
      </c>
      <c r="CO17" s="10" t="s">
        <v>299</v>
      </c>
      <c r="CP17" s="10" t="s">
        <v>299</v>
      </c>
      <c r="CQ17" s="10" t="s">
        <v>298</v>
      </c>
      <c r="CR17" s="10" t="s">
        <v>298</v>
      </c>
      <c r="CS17" s="10" t="s">
        <v>298</v>
      </c>
      <c r="CT17" s="10" t="s">
        <v>538</v>
      </c>
      <c r="CU17" s="10" t="s">
        <v>299</v>
      </c>
      <c r="CV17" s="10" t="s">
        <v>298</v>
      </c>
      <c r="CW17" s="10" t="s">
        <v>299</v>
      </c>
      <c r="CX17" s="10" t="s">
        <v>299</v>
      </c>
      <c r="CY17" s="10" t="s">
        <v>298</v>
      </c>
      <c r="CZ17" s="10" t="s">
        <v>300</v>
      </c>
      <c r="DA17" s="10" t="s">
        <v>298</v>
      </c>
      <c r="DB17" s="10" t="s">
        <v>298</v>
      </c>
      <c r="DC17" s="10" t="s">
        <v>298</v>
      </c>
      <c r="DD17" s="10" t="s">
        <v>298</v>
      </c>
      <c r="DE17" s="10" t="s">
        <v>299</v>
      </c>
      <c r="DF17" s="10" t="s">
        <v>298</v>
      </c>
      <c r="DG17" s="10" t="s">
        <v>298</v>
      </c>
      <c r="DH17" s="10" t="s">
        <v>298</v>
      </c>
      <c r="DI17" s="10" t="s">
        <v>298</v>
      </c>
      <c r="DJ17" s="1" t="s">
        <v>277</v>
      </c>
      <c r="DK17" s="1" t="s">
        <v>277</v>
      </c>
      <c r="DL17" s="1" t="s">
        <v>278</v>
      </c>
      <c r="DM17" s="1" t="s">
        <v>278</v>
      </c>
      <c r="DN17" s="48" t="s">
        <v>278</v>
      </c>
      <c r="DO17" s="48" t="s">
        <v>278</v>
      </c>
      <c r="DP17" s="1" t="s">
        <v>277</v>
      </c>
      <c r="DQ17" s="17" t="s">
        <v>278</v>
      </c>
      <c r="DR17" s="17" t="s">
        <v>278</v>
      </c>
      <c r="DS17" s="17" t="s">
        <v>278</v>
      </c>
      <c r="DT17" s="1" t="s">
        <v>277</v>
      </c>
      <c r="DU17" s="1" t="s">
        <v>277</v>
      </c>
      <c r="DV17" s="1" t="s">
        <v>277</v>
      </c>
      <c r="DW17" s="1" t="s">
        <v>277</v>
      </c>
      <c r="DX17" s="1" t="s">
        <v>277</v>
      </c>
      <c r="DY17" s="1" t="s">
        <v>277</v>
      </c>
      <c r="DZ17" s="1" t="s">
        <v>277</v>
      </c>
      <c r="EA17" s="1" t="s">
        <v>277</v>
      </c>
      <c r="EB17" s="1" t="s">
        <v>277</v>
      </c>
      <c r="EC17" s="1" t="s">
        <v>277</v>
      </c>
      <c r="ED17" s="1" t="s">
        <v>277</v>
      </c>
      <c r="EE17" s="1" t="s">
        <v>277</v>
      </c>
      <c r="EF17" s="1" t="s">
        <v>277</v>
      </c>
      <c r="EG17" s="1" t="s">
        <v>277</v>
      </c>
      <c r="EH17" s="1" t="s">
        <v>277</v>
      </c>
      <c r="EI17" s="1" t="s">
        <v>277</v>
      </c>
      <c r="EJ17" s="1" t="s">
        <v>277</v>
      </c>
      <c r="EK17" s="1" t="s">
        <v>277</v>
      </c>
      <c r="EL17" s="1" t="s">
        <v>277</v>
      </c>
      <c r="EM17" s="1" t="s">
        <v>277</v>
      </c>
      <c r="EN17" s="1" t="s">
        <v>277</v>
      </c>
      <c r="EO17" s="1" t="s">
        <v>277</v>
      </c>
      <c r="EP17" s="1" t="s">
        <v>277</v>
      </c>
      <c r="EQ17" s="1" t="s">
        <v>277</v>
      </c>
    </row>
    <row r="18" spans="1:147" s="1" customFormat="1" ht="15" customHeight="1">
      <c r="A18" s="30" t="s">
        <v>254</v>
      </c>
      <c r="B18" s="1">
        <v>15</v>
      </c>
      <c r="C18" s="1">
        <v>11</v>
      </c>
      <c r="D18" s="1">
        <v>2001</v>
      </c>
      <c r="E18" s="4" t="s">
        <v>539</v>
      </c>
      <c r="F18" s="4" t="s">
        <v>540</v>
      </c>
      <c r="G18" s="15">
        <v>3</v>
      </c>
      <c r="H18" s="15">
        <v>3</v>
      </c>
      <c r="I18" s="15">
        <v>1</v>
      </c>
      <c r="J18" s="4" t="s">
        <v>541</v>
      </c>
      <c r="K18" s="4" t="s">
        <v>542</v>
      </c>
      <c r="L18" s="1" t="s">
        <v>258</v>
      </c>
      <c r="M18" s="4" t="s">
        <v>543</v>
      </c>
      <c r="N18" s="1">
        <v>158</v>
      </c>
      <c r="O18" s="1" t="s">
        <v>260</v>
      </c>
      <c r="P18" s="1" t="s">
        <v>261</v>
      </c>
      <c r="Q18" s="1" t="s">
        <v>544</v>
      </c>
      <c r="R18" s="1" t="s">
        <v>1734</v>
      </c>
      <c r="S18" s="1" t="s">
        <v>412</v>
      </c>
      <c r="T18" s="1" t="s">
        <v>413</v>
      </c>
      <c r="U18" s="1" t="s">
        <v>346</v>
      </c>
      <c r="V18" s="1" t="s">
        <v>266</v>
      </c>
      <c r="W18" t="s">
        <v>267</v>
      </c>
      <c r="X18" s="10">
        <v>3.15</v>
      </c>
      <c r="Y18" s="10">
        <v>2.25</v>
      </c>
      <c r="Z18" s="10">
        <v>2.02</v>
      </c>
      <c r="AA18" s="10">
        <v>435</v>
      </c>
      <c r="AB18" s="1">
        <v>2000</v>
      </c>
      <c r="AC18" s="1">
        <v>2000</v>
      </c>
      <c r="AD18" s="1">
        <v>2000</v>
      </c>
      <c r="AE18" s="1">
        <v>13.3</v>
      </c>
      <c r="AF18" s="1" t="s">
        <v>269</v>
      </c>
      <c r="AG18" s="1" t="s">
        <v>270</v>
      </c>
      <c r="AH18" s="1" t="s">
        <v>271</v>
      </c>
      <c r="AI18" s="1" t="s">
        <v>272</v>
      </c>
      <c r="AJ18" s="1" t="s">
        <v>545</v>
      </c>
      <c r="AK18" s="1" t="s">
        <v>274</v>
      </c>
      <c r="AL18" s="1" t="s">
        <v>546</v>
      </c>
      <c r="AM18" t="s">
        <v>375</v>
      </c>
      <c r="AN18" s="10" t="s">
        <v>277</v>
      </c>
      <c r="AO18" s="17">
        <v>1</v>
      </c>
      <c r="AP18" s="18" t="s">
        <v>278</v>
      </c>
      <c r="AQ18" s="17">
        <v>61</v>
      </c>
      <c r="AR18" s="17">
        <v>20</v>
      </c>
      <c r="AS18" s="17">
        <v>14</v>
      </c>
      <c r="AT18" s="17">
        <v>707</v>
      </c>
      <c r="AU18" s="17">
        <v>707</v>
      </c>
      <c r="AV18" s="17">
        <v>707</v>
      </c>
      <c r="AW18" t="s">
        <v>547</v>
      </c>
      <c r="AX18" s="1" t="s">
        <v>548</v>
      </c>
      <c r="AY18" s="1" t="s">
        <v>549</v>
      </c>
      <c r="AZ18" t="s">
        <v>550</v>
      </c>
      <c r="BA18" t="s">
        <v>444</v>
      </c>
      <c r="BB18" s="1" t="s">
        <v>551</v>
      </c>
      <c r="BC18" s="2" t="s">
        <v>289</v>
      </c>
      <c r="BD18" s="1" t="s">
        <v>552</v>
      </c>
      <c r="BE18" s="3" t="s">
        <v>284</v>
      </c>
      <c r="BF18" s="2" t="s">
        <v>277</v>
      </c>
      <c r="BG18" s="3" t="s">
        <v>553</v>
      </c>
      <c r="BH18" s="1" t="s">
        <v>554</v>
      </c>
      <c r="BI18" s="2" t="s">
        <v>289</v>
      </c>
      <c r="BJ18" s="2" t="s">
        <v>555</v>
      </c>
      <c r="BK18" s="2" t="s">
        <v>284</v>
      </c>
      <c r="BL18" s="2" t="s">
        <v>277</v>
      </c>
      <c r="BM18" t="s">
        <v>284</v>
      </c>
      <c r="BN18" s="2" t="s">
        <v>277</v>
      </c>
      <c r="BO18" s="2" t="s">
        <v>284</v>
      </c>
      <c r="BP18" s="1" t="s">
        <v>556</v>
      </c>
      <c r="BQ18" s="2" t="s">
        <v>336</v>
      </c>
      <c r="BR18" s="28" t="s">
        <v>557</v>
      </c>
      <c r="BS18" s="2" t="s">
        <v>362</v>
      </c>
      <c r="BT18" s="2" t="s">
        <v>277</v>
      </c>
      <c r="BU18" s="2" t="s">
        <v>558</v>
      </c>
      <c r="BV18" s="13" t="s">
        <v>559</v>
      </c>
      <c r="BW18" s="1" t="s">
        <v>560</v>
      </c>
      <c r="BX18" s="1" t="s">
        <v>561</v>
      </c>
      <c r="BY18" s="2" t="s">
        <v>284</v>
      </c>
      <c r="BZ18" s="2" t="s">
        <v>277</v>
      </c>
      <c r="CA18" s="2" t="s">
        <v>277</v>
      </c>
      <c r="CB18" s="1" t="s">
        <v>562</v>
      </c>
      <c r="CC18" s="1" t="s">
        <v>563</v>
      </c>
      <c r="CD18" s="48">
        <f>529/707</f>
        <v>0.7482319660537482</v>
      </c>
      <c r="CE18" s="48">
        <f>683/707</f>
        <v>0.9660537482319661</v>
      </c>
      <c r="CF18" s="48">
        <f t="shared" si="0"/>
        <v>0.5635313531353136</v>
      </c>
      <c r="CG18" s="48">
        <f>IF(Data!$CB18="NA",".",Data!$CF18-(1-Data!$CF18))</f>
        <v>0.1270627062706271</v>
      </c>
      <c r="CH18" s="1" t="s">
        <v>277</v>
      </c>
      <c r="CI18" s="17">
        <v>0</v>
      </c>
      <c r="CJ18" s="17">
        <v>0</v>
      </c>
      <c r="CK18" s="17">
        <v>0</v>
      </c>
      <c r="CL18" s="10" t="s">
        <v>303</v>
      </c>
      <c r="CM18" s="10" t="s">
        <v>298</v>
      </c>
      <c r="CN18" s="10" t="s">
        <v>299</v>
      </c>
      <c r="CO18" s="10" t="s">
        <v>298</v>
      </c>
      <c r="CP18" s="10" t="s">
        <v>299</v>
      </c>
      <c r="CQ18" s="10" t="s">
        <v>298</v>
      </c>
      <c r="CR18" s="10" t="s">
        <v>298</v>
      </c>
      <c r="CS18" s="10" t="s">
        <v>298</v>
      </c>
      <c r="CT18" s="10" t="s">
        <v>298</v>
      </c>
      <c r="CU18" s="10" t="s">
        <v>298</v>
      </c>
      <c r="CV18" s="10" t="s">
        <v>298</v>
      </c>
      <c r="CW18" s="10" t="s">
        <v>299</v>
      </c>
      <c r="CX18" s="10" t="s">
        <v>299</v>
      </c>
      <c r="CY18" s="10" t="s">
        <v>298</v>
      </c>
      <c r="CZ18" s="10" t="s">
        <v>300</v>
      </c>
      <c r="DA18" s="10" t="s">
        <v>298</v>
      </c>
      <c r="DB18" s="10" t="s">
        <v>298</v>
      </c>
      <c r="DC18" s="10" t="s">
        <v>298</v>
      </c>
      <c r="DD18" s="10" t="s">
        <v>298</v>
      </c>
      <c r="DE18" s="10" t="s">
        <v>298</v>
      </c>
      <c r="DF18" s="10" t="s">
        <v>298</v>
      </c>
      <c r="DG18" s="10" t="s">
        <v>298</v>
      </c>
      <c r="DH18" s="10" t="s">
        <v>298</v>
      </c>
      <c r="DI18" s="10" t="s">
        <v>298</v>
      </c>
      <c r="DJ18" s="1" t="s">
        <v>277</v>
      </c>
      <c r="DK18" s="1" t="s">
        <v>277</v>
      </c>
      <c r="DL18" s="18" t="s">
        <v>278</v>
      </c>
      <c r="DM18" s="18" t="s">
        <v>278</v>
      </c>
      <c r="DN18" s="48" t="s">
        <v>278</v>
      </c>
      <c r="DO18" s="48" t="s">
        <v>278</v>
      </c>
      <c r="DP18" s="1" t="s">
        <v>277</v>
      </c>
      <c r="DQ18" s="17" t="s">
        <v>278</v>
      </c>
      <c r="DR18" s="17" t="s">
        <v>278</v>
      </c>
      <c r="DS18" s="17" t="s">
        <v>278</v>
      </c>
      <c r="DT18" s="1" t="s">
        <v>277</v>
      </c>
      <c r="DU18" s="1" t="s">
        <v>277</v>
      </c>
      <c r="DV18" s="1" t="s">
        <v>277</v>
      </c>
      <c r="DW18" s="1" t="s">
        <v>277</v>
      </c>
      <c r="DX18" s="1" t="s">
        <v>277</v>
      </c>
      <c r="DY18" s="1" t="s">
        <v>277</v>
      </c>
      <c r="DZ18" s="1" t="s">
        <v>277</v>
      </c>
      <c r="EA18" s="1" t="s">
        <v>277</v>
      </c>
      <c r="EB18" s="1" t="s">
        <v>277</v>
      </c>
      <c r="EC18" s="1" t="s">
        <v>277</v>
      </c>
      <c r="ED18" s="1" t="s">
        <v>277</v>
      </c>
      <c r="EE18" s="1" t="s">
        <v>277</v>
      </c>
      <c r="EF18" s="1" t="s">
        <v>277</v>
      </c>
      <c r="EG18" s="1" t="s">
        <v>277</v>
      </c>
      <c r="EH18" s="1" t="s">
        <v>277</v>
      </c>
      <c r="EI18" s="1" t="s">
        <v>277</v>
      </c>
      <c r="EJ18" s="1" t="s">
        <v>277</v>
      </c>
      <c r="EK18" s="1" t="s">
        <v>277</v>
      </c>
      <c r="EL18" s="1" t="s">
        <v>277</v>
      </c>
      <c r="EM18" s="1" t="s">
        <v>277</v>
      </c>
      <c r="EN18" s="1" t="s">
        <v>277</v>
      </c>
      <c r="EO18" s="1" t="s">
        <v>277</v>
      </c>
      <c r="EP18" s="1" t="s">
        <v>277</v>
      </c>
      <c r="EQ18" s="1" t="s">
        <v>277</v>
      </c>
    </row>
    <row r="19" spans="1:147" s="1" customFormat="1" ht="15" customHeight="1">
      <c r="A19" s="30" t="s">
        <v>254</v>
      </c>
      <c r="B19" s="1">
        <v>16</v>
      </c>
      <c r="C19" s="1">
        <v>12</v>
      </c>
      <c r="D19" s="1">
        <v>2003</v>
      </c>
      <c r="E19" s="4" t="s">
        <v>564</v>
      </c>
      <c r="F19" s="4" t="s">
        <v>565</v>
      </c>
      <c r="G19" s="15">
        <v>3</v>
      </c>
      <c r="H19" s="15">
        <v>3</v>
      </c>
      <c r="I19" s="15">
        <v>1</v>
      </c>
      <c r="J19" s="4" t="s">
        <v>566</v>
      </c>
      <c r="K19" s="4" t="s">
        <v>542</v>
      </c>
      <c r="L19" s="1" t="s">
        <v>258</v>
      </c>
      <c r="M19" s="4" t="s">
        <v>567</v>
      </c>
      <c r="N19" s="1">
        <v>108</v>
      </c>
      <c r="O19" s="1" t="s">
        <v>260</v>
      </c>
      <c r="P19" s="1" t="s">
        <v>261</v>
      </c>
      <c r="Q19" s="1" t="s">
        <v>568</v>
      </c>
      <c r="S19" s="1" t="s">
        <v>412</v>
      </c>
      <c r="T19" s="1" t="s">
        <v>413</v>
      </c>
      <c r="U19" s="1" t="s">
        <v>346</v>
      </c>
      <c r="V19" s="1" t="s">
        <v>266</v>
      </c>
      <c r="W19" t="s">
        <v>267</v>
      </c>
      <c r="X19" s="10">
        <v>3.15</v>
      </c>
      <c r="Y19" s="10">
        <v>2.25</v>
      </c>
      <c r="Z19" s="10">
        <v>2.02</v>
      </c>
      <c r="AA19" s="10">
        <v>435</v>
      </c>
      <c r="AB19" s="1">
        <v>2000</v>
      </c>
      <c r="AC19" s="1">
        <v>2000</v>
      </c>
      <c r="AD19" s="1">
        <v>2000</v>
      </c>
      <c r="AE19" s="6">
        <f>58/435*100</f>
        <v>13.333333333333334</v>
      </c>
      <c r="AF19" s="1" t="s">
        <v>269</v>
      </c>
      <c r="AG19" s="1" t="s">
        <v>270</v>
      </c>
      <c r="AH19" s="1" t="s">
        <v>271</v>
      </c>
      <c r="AI19" s="1" t="s">
        <v>272</v>
      </c>
      <c r="AJ19" s="1" t="s">
        <v>569</v>
      </c>
      <c r="AK19" s="1" t="s">
        <v>274</v>
      </c>
      <c r="AL19" s="1" t="s">
        <v>570</v>
      </c>
      <c r="AM19" t="s">
        <v>375</v>
      </c>
      <c r="AN19" s="10" t="s">
        <v>277</v>
      </c>
      <c r="AO19" s="17">
        <v>1</v>
      </c>
      <c r="AP19" s="17">
        <v>17</v>
      </c>
      <c r="AQ19" s="17">
        <v>62</v>
      </c>
      <c r="AR19" s="17">
        <v>20</v>
      </c>
      <c r="AS19" s="17">
        <v>17</v>
      </c>
      <c r="AT19" s="17">
        <v>707</v>
      </c>
      <c r="AU19" s="17">
        <v>707</v>
      </c>
      <c r="AV19" s="17">
        <v>707</v>
      </c>
      <c r="AW19" t="s">
        <v>547</v>
      </c>
      <c r="AX19" s="1" t="s">
        <v>548</v>
      </c>
      <c r="AY19" s="1" t="s">
        <v>464</v>
      </c>
      <c r="AZ19" t="s">
        <v>571</v>
      </c>
      <c r="BA19" t="s">
        <v>444</v>
      </c>
      <c r="BB19" s="1" t="s">
        <v>551</v>
      </c>
      <c r="BC19" s="2" t="s">
        <v>289</v>
      </c>
      <c r="BD19" s="1" t="s">
        <v>552</v>
      </c>
      <c r="BE19" s="3" t="s">
        <v>284</v>
      </c>
      <c r="BF19" s="2" t="s">
        <v>277</v>
      </c>
      <c r="BG19" s="3" t="s">
        <v>553</v>
      </c>
      <c r="BH19" s="1" t="s">
        <v>554</v>
      </c>
      <c r="BI19" s="2" t="s">
        <v>284</v>
      </c>
      <c r="BJ19" s="2"/>
      <c r="BK19" s="2" t="s">
        <v>284</v>
      </c>
      <c r="BL19" s="2" t="s">
        <v>277</v>
      </c>
      <c r="BM19" t="s">
        <v>284</v>
      </c>
      <c r="BN19" s="2" t="s">
        <v>277</v>
      </c>
      <c r="BO19" s="2" t="s">
        <v>572</v>
      </c>
      <c r="BP19" s="1" t="s">
        <v>573</v>
      </c>
      <c r="BQ19" s="2" t="s">
        <v>336</v>
      </c>
      <c r="BR19" s="1" t="s">
        <v>574</v>
      </c>
      <c r="BS19" s="2" t="s">
        <v>362</v>
      </c>
      <c r="BT19" s="2" t="s">
        <v>277</v>
      </c>
      <c r="BU19" s="2" t="s">
        <v>284</v>
      </c>
      <c r="BV19" s="13" t="s">
        <v>575</v>
      </c>
      <c r="BW19" s="1" t="s">
        <v>560</v>
      </c>
      <c r="BX19" s="1" t="s">
        <v>576</v>
      </c>
      <c r="BY19" s="2" t="s">
        <v>284</v>
      </c>
      <c r="BZ19" s="2" t="s">
        <v>277</v>
      </c>
      <c r="CA19" s="1" t="s">
        <v>577</v>
      </c>
      <c r="CB19" s="1" t="s">
        <v>578</v>
      </c>
      <c r="CC19" s="14" t="s">
        <v>579</v>
      </c>
      <c r="CD19" s="5" t="s">
        <v>278</v>
      </c>
      <c r="CE19" s="5" t="s">
        <v>278</v>
      </c>
      <c r="CF19" s="5" t="s">
        <v>278</v>
      </c>
      <c r="CG19" s="48" t="s">
        <v>278</v>
      </c>
      <c r="CH19" s="1" t="s">
        <v>580</v>
      </c>
      <c r="CI19" s="17" t="s">
        <v>278</v>
      </c>
      <c r="CJ19" s="17" t="s">
        <v>278</v>
      </c>
      <c r="CK19" s="17" t="s">
        <v>278</v>
      </c>
      <c r="CL19" s="1" t="s">
        <v>277</v>
      </c>
      <c r="CM19" s="1" t="s">
        <v>277</v>
      </c>
      <c r="CN19" s="1" t="s">
        <v>277</v>
      </c>
      <c r="CO19" s="1" t="s">
        <v>277</v>
      </c>
      <c r="CP19" s="1" t="s">
        <v>277</v>
      </c>
      <c r="CQ19" s="1" t="s">
        <v>277</v>
      </c>
      <c r="CR19" s="1" t="s">
        <v>277</v>
      </c>
      <c r="CS19" s="1" t="s">
        <v>277</v>
      </c>
      <c r="CT19" s="1" t="s">
        <v>277</v>
      </c>
      <c r="CU19" s="1" t="s">
        <v>277</v>
      </c>
      <c r="CV19" s="1" t="s">
        <v>277</v>
      </c>
      <c r="CW19" s="1" t="s">
        <v>277</v>
      </c>
      <c r="CX19" s="1" t="s">
        <v>277</v>
      </c>
      <c r="CY19" s="1" t="s">
        <v>277</v>
      </c>
      <c r="CZ19" s="1" t="s">
        <v>277</v>
      </c>
      <c r="DA19" s="1" t="s">
        <v>277</v>
      </c>
      <c r="DB19" s="1" t="s">
        <v>277</v>
      </c>
      <c r="DC19" s="1" t="s">
        <v>277</v>
      </c>
      <c r="DD19" s="1" t="s">
        <v>277</v>
      </c>
      <c r="DE19" s="1" t="s">
        <v>277</v>
      </c>
      <c r="DF19" s="1" t="s">
        <v>277</v>
      </c>
      <c r="DG19" s="1" t="s">
        <v>277</v>
      </c>
      <c r="DH19" s="1" t="s">
        <v>277</v>
      </c>
      <c r="DI19" s="1" t="s">
        <v>277</v>
      </c>
      <c r="DJ19" s="1" t="s">
        <v>277</v>
      </c>
      <c r="DK19" s="1" t="s">
        <v>277</v>
      </c>
      <c r="DL19" s="1" t="s">
        <v>278</v>
      </c>
      <c r="DM19" s="1" t="s">
        <v>278</v>
      </c>
      <c r="DN19" s="48" t="s">
        <v>278</v>
      </c>
      <c r="DO19" s="48" t="s">
        <v>278</v>
      </c>
      <c r="DP19" s="1" t="s">
        <v>277</v>
      </c>
      <c r="DQ19" s="17" t="s">
        <v>278</v>
      </c>
      <c r="DR19" s="17" t="s">
        <v>278</v>
      </c>
      <c r="DS19" s="17" t="s">
        <v>278</v>
      </c>
      <c r="DT19" s="1" t="s">
        <v>277</v>
      </c>
      <c r="DU19" s="1" t="s">
        <v>277</v>
      </c>
      <c r="DV19" s="1" t="s">
        <v>277</v>
      </c>
      <c r="DW19" s="1" t="s">
        <v>277</v>
      </c>
      <c r="DX19" s="1" t="s">
        <v>277</v>
      </c>
      <c r="DY19" s="1" t="s">
        <v>277</v>
      </c>
      <c r="DZ19" s="1" t="s">
        <v>277</v>
      </c>
      <c r="EA19" s="1" t="s">
        <v>277</v>
      </c>
      <c r="EB19" s="1" t="s">
        <v>277</v>
      </c>
      <c r="EC19" s="1" t="s">
        <v>277</v>
      </c>
      <c r="ED19" s="1" t="s">
        <v>277</v>
      </c>
      <c r="EE19" s="1" t="s">
        <v>277</v>
      </c>
      <c r="EF19" s="1" t="s">
        <v>277</v>
      </c>
      <c r="EG19" s="1" t="s">
        <v>277</v>
      </c>
      <c r="EH19" s="1" t="s">
        <v>277</v>
      </c>
      <c r="EI19" s="1" t="s">
        <v>277</v>
      </c>
      <c r="EJ19" s="1" t="s">
        <v>277</v>
      </c>
      <c r="EK19" s="1" t="s">
        <v>277</v>
      </c>
      <c r="EL19" s="1" t="s">
        <v>277</v>
      </c>
      <c r="EM19" s="1" t="s">
        <v>277</v>
      </c>
      <c r="EN19" s="1" t="s">
        <v>277</v>
      </c>
      <c r="EO19" s="1" t="s">
        <v>277</v>
      </c>
      <c r="EP19" s="1" t="s">
        <v>277</v>
      </c>
      <c r="EQ19" s="1" t="s">
        <v>277</v>
      </c>
    </row>
    <row r="20" spans="1:147" s="1" customFormat="1" ht="15" customHeight="1">
      <c r="A20" s="30" t="s">
        <v>254</v>
      </c>
      <c r="B20" s="1">
        <v>17</v>
      </c>
      <c r="C20" s="1">
        <v>12</v>
      </c>
      <c r="D20" s="1">
        <v>2003</v>
      </c>
      <c r="E20" s="4" t="s">
        <v>564</v>
      </c>
      <c r="F20" s="4" t="s">
        <v>565</v>
      </c>
      <c r="G20" s="15">
        <v>3</v>
      </c>
      <c r="H20" s="15">
        <v>3</v>
      </c>
      <c r="I20" s="15">
        <v>1</v>
      </c>
      <c r="J20" s="4" t="s">
        <v>566</v>
      </c>
      <c r="K20" s="4" t="s">
        <v>542</v>
      </c>
      <c r="L20" s="1" t="s">
        <v>258</v>
      </c>
      <c r="M20" s="4" t="s">
        <v>567</v>
      </c>
      <c r="N20" s="1">
        <v>108</v>
      </c>
      <c r="O20" s="1" t="s">
        <v>260</v>
      </c>
      <c r="P20" s="1" t="s">
        <v>261</v>
      </c>
      <c r="Q20" s="1" t="s">
        <v>568</v>
      </c>
      <c r="R20" s="1" t="s">
        <v>1735</v>
      </c>
      <c r="S20" s="1" t="s">
        <v>412</v>
      </c>
      <c r="T20" s="1" t="s">
        <v>413</v>
      </c>
      <c r="U20" s="1" t="s">
        <v>265</v>
      </c>
      <c r="V20" s="1" t="s">
        <v>266</v>
      </c>
      <c r="W20" t="s">
        <v>267</v>
      </c>
      <c r="X20" s="10">
        <v>3.15</v>
      </c>
      <c r="Y20" s="10">
        <v>2.25</v>
      </c>
      <c r="Z20" s="10">
        <v>2.02</v>
      </c>
      <c r="AA20" s="10">
        <v>435</v>
      </c>
      <c r="AB20" s="1">
        <v>2000</v>
      </c>
      <c r="AC20" s="1">
        <v>2000</v>
      </c>
      <c r="AD20" s="1">
        <v>2000</v>
      </c>
      <c r="AE20" s="6">
        <f>58/435*100</f>
        <v>13.333333333333334</v>
      </c>
      <c r="AF20" s="1" t="s">
        <v>269</v>
      </c>
      <c r="AG20" s="1" t="s">
        <v>270</v>
      </c>
      <c r="AH20" s="1" t="s">
        <v>271</v>
      </c>
      <c r="AI20" s="1" t="s">
        <v>272</v>
      </c>
      <c r="AJ20" s="1" t="s">
        <v>569</v>
      </c>
      <c r="AK20" s="1" t="s">
        <v>274</v>
      </c>
      <c r="AL20" s="1" t="s">
        <v>570</v>
      </c>
      <c r="AM20" t="s">
        <v>375</v>
      </c>
      <c r="AN20" s="10" t="s">
        <v>277</v>
      </c>
      <c r="AO20" s="17">
        <v>1</v>
      </c>
      <c r="AP20" s="17">
        <v>12</v>
      </c>
      <c r="AQ20" s="17">
        <v>24</v>
      </c>
      <c r="AR20" s="17">
        <v>12</v>
      </c>
      <c r="AS20" s="17">
        <v>12</v>
      </c>
      <c r="AT20" s="17">
        <v>578</v>
      </c>
      <c r="AU20" s="17">
        <v>578</v>
      </c>
      <c r="AV20" s="17">
        <v>578</v>
      </c>
      <c r="AW20" t="s">
        <v>547</v>
      </c>
      <c r="AX20" s="1" t="s">
        <v>548</v>
      </c>
      <c r="AY20" s="1" t="s">
        <v>464</v>
      </c>
      <c r="AZ20" t="s">
        <v>581</v>
      </c>
      <c r="BA20" t="s">
        <v>444</v>
      </c>
      <c r="BB20" s="1" t="s">
        <v>582</v>
      </c>
      <c r="BC20" s="2" t="s">
        <v>289</v>
      </c>
      <c r="BD20" s="1" t="s">
        <v>552</v>
      </c>
      <c r="BE20" s="3" t="s">
        <v>284</v>
      </c>
      <c r="BF20" s="2" t="s">
        <v>277</v>
      </c>
      <c r="BG20" s="3" t="s">
        <v>553</v>
      </c>
      <c r="BH20" s="1" t="s">
        <v>554</v>
      </c>
      <c r="BI20" s="2" t="s">
        <v>284</v>
      </c>
      <c r="BK20" s="2" t="s">
        <v>284</v>
      </c>
      <c r="BL20" s="2" t="s">
        <v>277</v>
      </c>
      <c r="BM20" t="s">
        <v>284</v>
      </c>
      <c r="BN20" s="26" t="s">
        <v>277</v>
      </c>
      <c r="BO20" s="2" t="s">
        <v>572</v>
      </c>
      <c r="BP20" s="1" t="s">
        <v>573</v>
      </c>
      <c r="BQ20" s="2" t="s">
        <v>470</v>
      </c>
      <c r="BR20" s="28" t="s">
        <v>583</v>
      </c>
      <c r="BS20" s="2" t="s">
        <v>362</v>
      </c>
      <c r="BT20" s="2" t="s">
        <v>277</v>
      </c>
      <c r="BU20" s="2" t="s">
        <v>284</v>
      </c>
      <c r="BV20" s="13" t="s">
        <v>575</v>
      </c>
      <c r="BW20" s="1" t="s">
        <v>560</v>
      </c>
      <c r="BX20" s="1" t="s">
        <v>576</v>
      </c>
      <c r="BY20" s="2" t="s">
        <v>284</v>
      </c>
      <c r="BZ20" s="2" t="s">
        <v>277</v>
      </c>
      <c r="CA20" s="1" t="s">
        <v>577</v>
      </c>
      <c r="CB20" s="1" t="s">
        <v>578</v>
      </c>
      <c r="CC20" s="1" t="s">
        <v>584</v>
      </c>
      <c r="CD20" s="48">
        <f>441/578</f>
        <v>0.7629757785467128</v>
      </c>
      <c r="CE20" s="48">
        <f>566/578</f>
        <v>0.9792387543252595</v>
      </c>
      <c r="CF20" s="48">
        <f>CE20/(CE20+CD20)</f>
        <v>0.5620655412115193</v>
      </c>
      <c r="CG20" s="48">
        <f>IF(Data!$CB20="NA",".",Data!$CF20-(1-Data!$CF20))</f>
        <v>0.12413108242303861</v>
      </c>
      <c r="CH20" s="1" t="s">
        <v>277</v>
      </c>
      <c r="CI20" s="17">
        <v>0</v>
      </c>
      <c r="CJ20" s="17">
        <v>0</v>
      </c>
      <c r="CK20" s="17">
        <v>0</v>
      </c>
      <c r="CL20" s="10" t="s">
        <v>303</v>
      </c>
      <c r="CM20" s="10" t="s">
        <v>298</v>
      </c>
      <c r="CN20" s="10" t="s">
        <v>299</v>
      </c>
      <c r="CO20" s="10" t="s">
        <v>298</v>
      </c>
      <c r="CP20" s="10" t="s">
        <v>299</v>
      </c>
      <c r="CQ20" s="10" t="s">
        <v>298</v>
      </c>
      <c r="CR20" s="10" t="s">
        <v>298</v>
      </c>
      <c r="CS20" s="10" t="s">
        <v>298</v>
      </c>
      <c r="CT20" s="10" t="s">
        <v>298</v>
      </c>
      <c r="CU20" s="10" t="s">
        <v>298</v>
      </c>
      <c r="CV20" s="10" t="s">
        <v>298</v>
      </c>
      <c r="CW20" s="10" t="s">
        <v>298</v>
      </c>
      <c r="CX20" s="10" t="s">
        <v>298</v>
      </c>
      <c r="CY20" s="10" t="s">
        <v>298</v>
      </c>
      <c r="CZ20" s="10" t="s">
        <v>300</v>
      </c>
      <c r="DA20" s="10" t="s">
        <v>298</v>
      </c>
      <c r="DB20" s="10" t="s">
        <v>298</v>
      </c>
      <c r="DC20" s="10" t="s">
        <v>298</v>
      </c>
      <c r="DD20" s="10" t="s">
        <v>298</v>
      </c>
      <c r="DE20" s="10" t="s">
        <v>298</v>
      </c>
      <c r="DF20" s="10" t="s">
        <v>298</v>
      </c>
      <c r="DG20" s="10" t="s">
        <v>298</v>
      </c>
      <c r="DH20" s="10" t="s">
        <v>298</v>
      </c>
      <c r="DI20" s="10" t="s">
        <v>298</v>
      </c>
      <c r="DJ20" s="1" t="s">
        <v>277</v>
      </c>
      <c r="DK20" s="1" t="s">
        <v>277</v>
      </c>
      <c r="DL20" s="1" t="s">
        <v>278</v>
      </c>
      <c r="DM20" s="1" t="s">
        <v>278</v>
      </c>
      <c r="DN20" s="48" t="s">
        <v>278</v>
      </c>
      <c r="DO20" s="48" t="s">
        <v>278</v>
      </c>
      <c r="DP20" s="1" t="s">
        <v>277</v>
      </c>
      <c r="DQ20" s="17" t="s">
        <v>278</v>
      </c>
      <c r="DR20" s="17" t="s">
        <v>278</v>
      </c>
      <c r="DS20" s="17" t="s">
        <v>278</v>
      </c>
      <c r="DT20" s="1" t="s">
        <v>277</v>
      </c>
      <c r="DU20" s="1" t="s">
        <v>277</v>
      </c>
      <c r="DV20" s="1" t="s">
        <v>277</v>
      </c>
      <c r="DW20" s="1" t="s">
        <v>277</v>
      </c>
      <c r="DX20" s="1" t="s">
        <v>277</v>
      </c>
      <c r="DY20" s="1" t="s">
        <v>277</v>
      </c>
      <c r="DZ20" s="1" t="s">
        <v>277</v>
      </c>
      <c r="EA20" s="1" t="s">
        <v>277</v>
      </c>
      <c r="EB20" s="1" t="s">
        <v>277</v>
      </c>
      <c r="EC20" s="1" t="s">
        <v>277</v>
      </c>
      <c r="ED20" s="1" t="s">
        <v>277</v>
      </c>
      <c r="EE20" s="1" t="s">
        <v>277</v>
      </c>
      <c r="EF20" s="1" t="s">
        <v>277</v>
      </c>
      <c r="EG20" s="1" t="s">
        <v>277</v>
      </c>
      <c r="EH20" s="1" t="s">
        <v>277</v>
      </c>
      <c r="EI20" s="1" t="s">
        <v>277</v>
      </c>
      <c r="EJ20" s="1" t="s">
        <v>277</v>
      </c>
      <c r="EK20" s="1" t="s">
        <v>277</v>
      </c>
      <c r="EL20" s="1" t="s">
        <v>277</v>
      </c>
      <c r="EM20" s="1" t="s">
        <v>277</v>
      </c>
      <c r="EN20" s="1" t="s">
        <v>277</v>
      </c>
      <c r="EO20" s="1" t="s">
        <v>277</v>
      </c>
      <c r="EP20" s="1" t="s">
        <v>277</v>
      </c>
      <c r="EQ20" s="1" t="s">
        <v>277</v>
      </c>
    </row>
    <row r="21" spans="1:147" s="1" customFormat="1" ht="15" customHeight="1">
      <c r="A21" s="30" t="s">
        <v>254</v>
      </c>
      <c r="B21" s="1">
        <v>18</v>
      </c>
      <c r="C21" s="1">
        <v>13</v>
      </c>
      <c r="D21" s="1">
        <v>2012</v>
      </c>
      <c r="E21" s="4" t="s">
        <v>585</v>
      </c>
      <c r="F21" s="4" t="s">
        <v>585</v>
      </c>
      <c r="G21" s="15">
        <v>2</v>
      </c>
      <c r="H21" s="15">
        <v>2</v>
      </c>
      <c r="I21" s="15">
        <v>1</v>
      </c>
      <c r="J21" s="4" t="s">
        <v>586</v>
      </c>
      <c r="K21" s="1" t="s">
        <v>587</v>
      </c>
      <c r="L21" s="1" t="s">
        <v>258</v>
      </c>
      <c r="M21" t="s">
        <v>588</v>
      </c>
      <c r="N21" s="10">
        <v>18</v>
      </c>
      <c r="O21" s="1" t="s">
        <v>260</v>
      </c>
      <c r="P21" s="1" t="s">
        <v>261</v>
      </c>
      <c r="Q21" s="1" t="s">
        <v>589</v>
      </c>
      <c r="R21" s="1" t="s">
        <v>1729</v>
      </c>
      <c r="S21" s="1" t="s">
        <v>325</v>
      </c>
      <c r="T21" s="1" t="s">
        <v>264</v>
      </c>
      <c r="U21" s="1" t="s">
        <v>265</v>
      </c>
      <c r="V21" s="1" t="s">
        <v>266</v>
      </c>
      <c r="W21" t="s">
        <v>267</v>
      </c>
      <c r="X21" s="10">
        <v>4.01</v>
      </c>
      <c r="Y21" s="10">
        <v>2.09</v>
      </c>
      <c r="Z21" s="10">
        <v>1.94</v>
      </c>
      <c r="AA21" s="10">
        <v>435</v>
      </c>
      <c r="AB21" s="1">
        <v>2008</v>
      </c>
      <c r="AC21" s="1">
        <v>2008</v>
      </c>
      <c r="AD21" s="1">
        <v>2008</v>
      </c>
      <c r="AE21" s="1">
        <v>17</v>
      </c>
      <c r="AF21" s="1" t="s">
        <v>269</v>
      </c>
      <c r="AG21" s="1" t="s">
        <v>590</v>
      </c>
      <c r="AH21" s="1" t="s">
        <v>591</v>
      </c>
      <c r="AI21" s="1" t="s">
        <v>272</v>
      </c>
      <c r="AJ21" s="1" t="s">
        <v>592</v>
      </c>
      <c r="AK21" s="1" t="s">
        <v>373</v>
      </c>
      <c r="AL21" s="1" t="s">
        <v>490</v>
      </c>
      <c r="AM21" s="1" t="s">
        <v>375</v>
      </c>
      <c r="AN21" s="10" t="s">
        <v>593</v>
      </c>
      <c r="AO21" s="17">
        <v>1</v>
      </c>
      <c r="AP21" s="17">
        <v>1</v>
      </c>
      <c r="AQ21" s="17">
        <v>2</v>
      </c>
      <c r="AR21" s="17">
        <v>1</v>
      </c>
      <c r="AS21" s="17">
        <v>3</v>
      </c>
      <c r="AT21" s="17">
        <v>1676</v>
      </c>
      <c r="AU21" s="17" t="s">
        <v>278</v>
      </c>
      <c r="AV21" s="17" t="s">
        <v>278</v>
      </c>
      <c r="AW21" t="s">
        <v>594</v>
      </c>
      <c r="AX21" s="12" t="s">
        <v>595</v>
      </c>
      <c r="AY21" s="1" t="s">
        <v>464</v>
      </c>
      <c r="AZ21" s="1" t="s">
        <v>596</v>
      </c>
      <c r="BA21" t="s">
        <v>284</v>
      </c>
      <c r="BB21" s="2" t="s">
        <v>277</v>
      </c>
      <c r="BC21" s="2" t="s">
        <v>285</v>
      </c>
      <c r="BD21" s="1" t="s">
        <v>597</v>
      </c>
      <c r="BE21" s="3" t="s">
        <v>356</v>
      </c>
      <c r="BF21" s="1" t="s">
        <v>598</v>
      </c>
      <c r="BG21" s="3" t="s">
        <v>553</v>
      </c>
      <c r="BH21" s="1" t="s">
        <v>599</v>
      </c>
      <c r="BI21" s="2" t="s">
        <v>359</v>
      </c>
      <c r="BJ21" s="1" t="s">
        <v>600</v>
      </c>
      <c r="BK21" s="2" t="s">
        <v>284</v>
      </c>
      <c r="BL21" s="2" t="s">
        <v>277</v>
      </c>
      <c r="BM21" t="s">
        <v>284</v>
      </c>
      <c r="BN21" s="2" t="s">
        <v>277</v>
      </c>
      <c r="BO21" s="2" t="s">
        <v>284</v>
      </c>
      <c r="BP21" s="1" t="s">
        <v>601</v>
      </c>
      <c r="BQ21" s="2" t="s">
        <v>291</v>
      </c>
      <c r="BR21" s="14" t="s">
        <v>602</v>
      </c>
      <c r="BS21" s="2" t="s">
        <v>362</v>
      </c>
      <c r="BT21" s="2" t="s">
        <v>277</v>
      </c>
      <c r="BU21" s="2" t="s">
        <v>284</v>
      </c>
      <c r="BV21" s="2" t="s">
        <v>277</v>
      </c>
      <c r="BW21" s="1" t="s">
        <v>284</v>
      </c>
      <c r="BX21" s="1" t="s">
        <v>277</v>
      </c>
      <c r="BY21" s="2" t="s">
        <v>284</v>
      </c>
      <c r="BZ21" s="2" t="s">
        <v>277</v>
      </c>
      <c r="CA21" s="2" t="s">
        <v>277</v>
      </c>
      <c r="CB21" s="1" t="s">
        <v>603</v>
      </c>
      <c r="CC21" s="1" t="s">
        <v>604</v>
      </c>
      <c r="CD21" s="48">
        <v>8.2</v>
      </c>
      <c r="CE21" s="48">
        <v>15</v>
      </c>
      <c r="CF21" s="48">
        <f>CE21/(CE21+CD21)</f>
        <v>0.646551724137931</v>
      </c>
      <c r="CG21" s="48">
        <f>IF(Data!$CB21="NA",".",Data!$CF21-(1-Data!$CF21))</f>
        <v>0.2931034482758621</v>
      </c>
      <c r="CH21" s="1" t="s">
        <v>277</v>
      </c>
      <c r="CI21" s="17">
        <v>0</v>
      </c>
      <c r="CJ21" s="17">
        <v>0</v>
      </c>
      <c r="CK21" s="17">
        <v>0</v>
      </c>
      <c r="CL21" s="10" t="s">
        <v>303</v>
      </c>
      <c r="CM21" s="10" t="s">
        <v>298</v>
      </c>
      <c r="CN21" s="10" t="s">
        <v>299</v>
      </c>
      <c r="CO21" s="10" t="s">
        <v>299</v>
      </c>
      <c r="CP21" s="10" t="s">
        <v>299</v>
      </c>
      <c r="CQ21" s="10" t="s">
        <v>299</v>
      </c>
      <c r="CR21" s="10" t="s">
        <v>299</v>
      </c>
      <c r="CS21" s="10" t="s">
        <v>298</v>
      </c>
      <c r="CT21" s="10" t="s">
        <v>298</v>
      </c>
      <c r="CU21" s="10" t="s">
        <v>298</v>
      </c>
      <c r="CV21" s="10" t="s">
        <v>298</v>
      </c>
      <c r="CW21" s="10" t="s">
        <v>298</v>
      </c>
      <c r="CX21" s="10" t="s">
        <v>298</v>
      </c>
      <c r="CY21" s="10" t="s">
        <v>298</v>
      </c>
      <c r="CZ21" s="10" t="s">
        <v>300</v>
      </c>
      <c r="DA21" s="10" t="s">
        <v>298</v>
      </c>
      <c r="DB21" s="10" t="s">
        <v>298</v>
      </c>
      <c r="DC21" s="10" t="s">
        <v>298</v>
      </c>
      <c r="DD21" s="10" t="s">
        <v>298</v>
      </c>
      <c r="DE21" s="10" t="s">
        <v>298</v>
      </c>
      <c r="DF21" s="10" t="s">
        <v>298</v>
      </c>
      <c r="DG21" s="10" t="s">
        <v>298</v>
      </c>
      <c r="DH21" s="10" t="s">
        <v>298</v>
      </c>
      <c r="DI21" s="10" t="s">
        <v>298</v>
      </c>
      <c r="DJ21" s="1" t="s">
        <v>277</v>
      </c>
      <c r="DK21" s="1" t="s">
        <v>277</v>
      </c>
      <c r="DL21" s="18" t="s">
        <v>278</v>
      </c>
      <c r="DM21" s="18" t="s">
        <v>278</v>
      </c>
      <c r="DN21" s="48" t="s">
        <v>278</v>
      </c>
      <c r="DO21" s="48" t="s">
        <v>278</v>
      </c>
      <c r="DP21" s="1" t="s">
        <v>277</v>
      </c>
      <c r="DQ21" s="17" t="s">
        <v>278</v>
      </c>
      <c r="DR21" s="17" t="s">
        <v>278</v>
      </c>
      <c r="DS21" s="17" t="s">
        <v>278</v>
      </c>
      <c r="DT21" s="1" t="s">
        <v>277</v>
      </c>
      <c r="DU21" s="1" t="s">
        <v>277</v>
      </c>
      <c r="DV21" s="1" t="s">
        <v>277</v>
      </c>
      <c r="DW21" s="1" t="s">
        <v>277</v>
      </c>
      <c r="DX21" s="1" t="s">
        <v>277</v>
      </c>
      <c r="DY21" s="1" t="s">
        <v>277</v>
      </c>
      <c r="DZ21" s="1" t="s">
        <v>277</v>
      </c>
      <c r="EA21" s="1" t="s">
        <v>277</v>
      </c>
      <c r="EB21" s="1" t="s">
        <v>277</v>
      </c>
      <c r="EC21" s="1" t="s">
        <v>277</v>
      </c>
      <c r="ED21" s="1" t="s">
        <v>277</v>
      </c>
      <c r="EE21" s="1" t="s">
        <v>277</v>
      </c>
      <c r="EF21" s="1" t="s">
        <v>277</v>
      </c>
      <c r="EG21" s="1" t="s">
        <v>277</v>
      </c>
      <c r="EH21" s="1" t="s">
        <v>277</v>
      </c>
      <c r="EI21" s="1" t="s">
        <v>277</v>
      </c>
      <c r="EJ21" s="1" t="s">
        <v>277</v>
      </c>
      <c r="EK21" s="1" t="s">
        <v>277</v>
      </c>
      <c r="EL21" s="1" t="s">
        <v>277</v>
      </c>
      <c r="EM21" s="1" t="s">
        <v>277</v>
      </c>
      <c r="EN21" s="1" t="s">
        <v>277</v>
      </c>
      <c r="EO21" s="1" t="s">
        <v>277</v>
      </c>
      <c r="EP21" s="1" t="s">
        <v>277</v>
      </c>
      <c r="EQ21" s="1" t="s">
        <v>277</v>
      </c>
    </row>
    <row r="22" spans="1:147" s="30" customFormat="1" ht="15" customHeight="1">
      <c r="A22" s="30" t="s">
        <v>254</v>
      </c>
      <c r="B22" s="1">
        <v>19</v>
      </c>
      <c r="C22" s="1">
        <v>13</v>
      </c>
      <c r="D22" s="1">
        <v>2012</v>
      </c>
      <c r="E22" s="4" t="s">
        <v>585</v>
      </c>
      <c r="F22" s="4" t="s">
        <v>585</v>
      </c>
      <c r="G22" s="15">
        <v>2</v>
      </c>
      <c r="H22" s="15">
        <v>2</v>
      </c>
      <c r="I22" s="15">
        <v>1</v>
      </c>
      <c r="J22" s="4" t="s">
        <v>586</v>
      </c>
      <c r="K22" s="1" t="s">
        <v>587</v>
      </c>
      <c r="L22" s="1" t="s">
        <v>258</v>
      </c>
      <c r="M22" t="s">
        <v>588</v>
      </c>
      <c r="N22" s="10">
        <v>18</v>
      </c>
      <c r="O22" s="1" t="s">
        <v>260</v>
      </c>
      <c r="P22" s="1" t="s">
        <v>261</v>
      </c>
      <c r="Q22" s="1" t="s">
        <v>589</v>
      </c>
      <c r="R22" s="1" t="s">
        <v>1729</v>
      </c>
      <c r="S22" s="1" t="s">
        <v>325</v>
      </c>
      <c r="T22" s="1" t="s">
        <v>264</v>
      </c>
      <c r="U22" s="1" t="s">
        <v>265</v>
      </c>
      <c r="V22" s="1" t="s">
        <v>266</v>
      </c>
      <c r="W22" t="s">
        <v>267</v>
      </c>
      <c r="X22" s="10">
        <v>4.01</v>
      </c>
      <c r="Y22" s="10">
        <v>2.09</v>
      </c>
      <c r="Z22" s="10">
        <v>1.94</v>
      </c>
      <c r="AA22" s="10">
        <v>435</v>
      </c>
      <c r="AB22" s="1">
        <v>2008</v>
      </c>
      <c r="AC22" s="1">
        <v>2008</v>
      </c>
      <c r="AD22" s="1">
        <v>2008</v>
      </c>
      <c r="AE22" s="1">
        <v>17</v>
      </c>
      <c r="AF22" s="1" t="s">
        <v>269</v>
      </c>
      <c r="AG22" s="1" t="s">
        <v>590</v>
      </c>
      <c r="AH22" s="1" t="s">
        <v>591</v>
      </c>
      <c r="AI22" s="1" t="s">
        <v>605</v>
      </c>
      <c r="AJ22" s="1" t="s">
        <v>277</v>
      </c>
      <c r="AK22" s="1" t="s">
        <v>606</v>
      </c>
      <c r="AL22" s="1" t="s">
        <v>490</v>
      </c>
      <c r="AM22" t="s">
        <v>375</v>
      </c>
      <c r="AN22" s="10" t="s">
        <v>593</v>
      </c>
      <c r="AO22" s="17">
        <v>1</v>
      </c>
      <c r="AP22" s="17">
        <v>1</v>
      </c>
      <c r="AQ22" s="17">
        <v>2</v>
      </c>
      <c r="AR22" s="17">
        <v>1</v>
      </c>
      <c r="AS22" s="17">
        <v>5</v>
      </c>
      <c r="AT22" s="17">
        <v>697</v>
      </c>
      <c r="AU22" s="17" t="s">
        <v>278</v>
      </c>
      <c r="AV22" s="17" t="s">
        <v>278</v>
      </c>
      <c r="AW22" t="s">
        <v>607</v>
      </c>
      <c r="AX22" s="12" t="s">
        <v>595</v>
      </c>
      <c r="AY22" s="1" t="s">
        <v>464</v>
      </c>
      <c r="AZ22" s="1" t="s">
        <v>596</v>
      </c>
      <c r="BA22" t="s">
        <v>284</v>
      </c>
      <c r="BB22" s="2" t="s">
        <v>277</v>
      </c>
      <c r="BC22" s="2" t="s">
        <v>289</v>
      </c>
      <c r="BD22" s="1" t="s">
        <v>608</v>
      </c>
      <c r="BE22" s="3" t="s">
        <v>356</v>
      </c>
      <c r="BF22" s="1" t="s">
        <v>598</v>
      </c>
      <c r="BG22" s="3" t="s">
        <v>553</v>
      </c>
      <c r="BH22" s="1" t="s">
        <v>599</v>
      </c>
      <c r="BI22" s="2" t="s">
        <v>289</v>
      </c>
      <c r="BJ22" s="1" t="s">
        <v>609</v>
      </c>
      <c r="BK22" s="2" t="s">
        <v>284</v>
      </c>
      <c r="BL22" s="2" t="s">
        <v>277</v>
      </c>
      <c r="BM22" t="s">
        <v>284</v>
      </c>
      <c r="BN22" s="2" t="s">
        <v>277</v>
      </c>
      <c r="BO22" s="2" t="s">
        <v>284</v>
      </c>
      <c r="BP22" s="1" t="s">
        <v>610</v>
      </c>
      <c r="BQ22" s="2" t="s">
        <v>336</v>
      </c>
      <c r="BR22" s="14" t="s">
        <v>611</v>
      </c>
      <c r="BS22" s="2" t="s">
        <v>362</v>
      </c>
      <c r="BT22" s="2" t="s">
        <v>277</v>
      </c>
      <c r="BU22" s="2" t="s">
        <v>284</v>
      </c>
      <c r="BV22" s="2" t="s">
        <v>277</v>
      </c>
      <c r="BW22" s="1" t="s">
        <v>284</v>
      </c>
      <c r="BX22" s="1" t="s">
        <v>277</v>
      </c>
      <c r="BY22" s="2" t="s">
        <v>284</v>
      </c>
      <c r="BZ22" s="2" t="s">
        <v>277</v>
      </c>
      <c r="CA22" s="2" t="s">
        <v>277</v>
      </c>
      <c r="CB22" s="1" t="s">
        <v>603</v>
      </c>
      <c r="CC22" s="1" t="s">
        <v>604</v>
      </c>
      <c r="CD22" s="48">
        <v>4.6</v>
      </c>
      <c r="CE22" s="48">
        <v>8.8</v>
      </c>
      <c r="CF22" s="48">
        <f>CE22/(CE22+CD22)</f>
        <v>0.6567164179104478</v>
      </c>
      <c r="CG22" s="48">
        <f>IF(Data!$CB22="NA",".",Data!$CF22-(1-Data!$CF22))</f>
        <v>0.31343283582089554</v>
      </c>
      <c r="CH22" s="1" t="s">
        <v>277</v>
      </c>
      <c r="CI22" s="17">
        <v>0</v>
      </c>
      <c r="CJ22" s="17">
        <v>0</v>
      </c>
      <c r="CK22" s="17">
        <v>0</v>
      </c>
      <c r="CL22" s="10" t="s">
        <v>303</v>
      </c>
      <c r="CM22" s="10" t="s">
        <v>298</v>
      </c>
      <c r="CN22" s="10" t="s">
        <v>299</v>
      </c>
      <c r="CO22" s="10" t="s">
        <v>299</v>
      </c>
      <c r="CP22" s="10" t="s">
        <v>299</v>
      </c>
      <c r="CQ22" s="10" t="s">
        <v>299</v>
      </c>
      <c r="CR22" s="10" t="s">
        <v>299</v>
      </c>
      <c r="CS22" s="10" t="s">
        <v>298</v>
      </c>
      <c r="CT22" s="10" t="s">
        <v>298</v>
      </c>
      <c r="CU22" s="10" t="s">
        <v>298</v>
      </c>
      <c r="CV22" s="10" t="s">
        <v>298</v>
      </c>
      <c r="CW22" s="10" t="s">
        <v>298</v>
      </c>
      <c r="CX22" s="10" t="s">
        <v>298</v>
      </c>
      <c r="CY22" s="10" t="s">
        <v>298</v>
      </c>
      <c r="CZ22" s="10" t="s">
        <v>300</v>
      </c>
      <c r="DA22" s="10" t="s">
        <v>298</v>
      </c>
      <c r="DB22" s="10" t="s">
        <v>298</v>
      </c>
      <c r="DC22" s="10" t="s">
        <v>298</v>
      </c>
      <c r="DD22" s="10" t="s">
        <v>298</v>
      </c>
      <c r="DE22" s="10" t="s">
        <v>298</v>
      </c>
      <c r="DF22" s="10" t="s">
        <v>298</v>
      </c>
      <c r="DG22" s="10" t="s">
        <v>298</v>
      </c>
      <c r="DH22" s="10" t="s">
        <v>298</v>
      </c>
      <c r="DI22" s="10" t="s">
        <v>298</v>
      </c>
      <c r="DJ22" s="1" t="s">
        <v>277</v>
      </c>
      <c r="DK22" s="1" t="s">
        <v>277</v>
      </c>
      <c r="DL22" s="1" t="s">
        <v>278</v>
      </c>
      <c r="DM22" s="1" t="s">
        <v>278</v>
      </c>
      <c r="DN22" s="48" t="s">
        <v>278</v>
      </c>
      <c r="DO22" s="48" t="s">
        <v>278</v>
      </c>
      <c r="DP22" s="1" t="s">
        <v>277</v>
      </c>
      <c r="DQ22" s="17" t="s">
        <v>278</v>
      </c>
      <c r="DR22" s="17" t="s">
        <v>278</v>
      </c>
      <c r="DS22" s="17" t="s">
        <v>278</v>
      </c>
      <c r="DT22" s="1" t="s">
        <v>277</v>
      </c>
      <c r="DU22" s="1" t="s">
        <v>277</v>
      </c>
      <c r="DV22" s="1" t="s">
        <v>277</v>
      </c>
      <c r="DW22" s="1" t="s">
        <v>277</v>
      </c>
      <c r="DX22" s="1" t="s">
        <v>277</v>
      </c>
      <c r="DY22" s="1" t="s">
        <v>277</v>
      </c>
      <c r="DZ22" s="1" t="s">
        <v>277</v>
      </c>
      <c r="EA22" s="1" t="s">
        <v>277</v>
      </c>
      <c r="EB22" s="1" t="s">
        <v>277</v>
      </c>
      <c r="EC22" s="1" t="s">
        <v>277</v>
      </c>
      <c r="ED22" s="1" t="s">
        <v>277</v>
      </c>
      <c r="EE22" s="1" t="s">
        <v>277</v>
      </c>
      <c r="EF22" s="1" t="s">
        <v>277</v>
      </c>
      <c r="EG22" s="1" t="s">
        <v>277</v>
      </c>
      <c r="EH22" s="1" t="s">
        <v>277</v>
      </c>
      <c r="EI22" s="1" t="s">
        <v>277</v>
      </c>
      <c r="EJ22" s="1" t="s">
        <v>277</v>
      </c>
      <c r="EK22" s="1" t="s">
        <v>277</v>
      </c>
      <c r="EL22" s="1" t="s">
        <v>277</v>
      </c>
      <c r="EM22" s="1" t="s">
        <v>277</v>
      </c>
      <c r="EN22" s="1" t="s">
        <v>277</v>
      </c>
      <c r="EO22" s="1" t="s">
        <v>277</v>
      </c>
      <c r="EP22" s="1" t="s">
        <v>277</v>
      </c>
      <c r="EQ22" s="1" t="s">
        <v>277</v>
      </c>
    </row>
    <row r="23" spans="1:147" s="1" customFormat="1" ht="15" customHeight="1">
      <c r="A23" s="30" t="s">
        <v>254</v>
      </c>
      <c r="B23" s="1">
        <v>20</v>
      </c>
      <c r="C23" s="1">
        <v>14</v>
      </c>
      <c r="D23" s="1">
        <v>2002</v>
      </c>
      <c r="E23" s="1" t="s">
        <v>612</v>
      </c>
      <c r="F23" s="1" t="s">
        <v>613</v>
      </c>
      <c r="G23" s="15">
        <v>4</v>
      </c>
      <c r="H23" s="15">
        <v>4</v>
      </c>
      <c r="I23" s="15">
        <v>1</v>
      </c>
      <c r="J23" s="1" t="s">
        <v>614</v>
      </c>
      <c r="K23" s="1" t="s">
        <v>615</v>
      </c>
      <c r="L23" s="1" t="s">
        <v>258</v>
      </c>
      <c r="M23" s="1" t="s">
        <v>616</v>
      </c>
      <c r="N23" s="1">
        <v>10</v>
      </c>
      <c r="O23" s="1" t="s">
        <v>260</v>
      </c>
      <c r="P23" s="1" t="s">
        <v>261</v>
      </c>
      <c r="Q23" s="1" t="s">
        <v>411</v>
      </c>
      <c r="S23" s="1" t="s">
        <v>412</v>
      </c>
      <c r="T23" s="1" t="s">
        <v>413</v>
      </c>
      <c r="U23" s="1" t="s">
        <v>265</v>
      </c>
      <c r="V23" s="1" t="s">
        <v>266</v>
      </c>
      <c r="W23" t="s">
        <v>267</v>
      </c>
      <c r="X23" s="10">
        <v>3.15</v>
      </c>
      <c r="Y23" s="10">
        <v>2.25</v>
      </c>
      <c r="Z23" s="10">
        <v>2.02</v>
      </c>
      <c r="AA23" s="10">
        <v>435</v>
      </c>
      <c r="AB23" s="1">
        <v>2000</v>
      </c>
      <c r="AC23" s="1">
        <v>2000</v>
      </c>
      <c r="AD23" s="1">
        <v>2000</v>
      </c>
      <c r="AE23" s="6">
        <f>58/435*100</f>
        <v>13.333333333333334</v>
      </c>
      <c r="AF23" s="1" t="s">
        <v>269</v>
      </c>
      <c r="AG23" s="1" t="s">
        <v>270</v>
      </c>
      <c r="AH23" s="1" t="s">
        <v>617</v>
      </c>
      <c r="AI23" s="1" t="s">
        <v>272</v>
      </c>
      <c r="AJ23" s="1" t="s">
        <v>618</v>
      </c>
      <c r="AK23" s="1" t="s">
        <v>274</v>
      </c>
      <c r="AL23" s="1" t="s">
        <v>490</v>
      </c>
      <c r="AM23" t="s">
        <v>375</v>
      </c>
      <c r="AN23" s="10" t="s">
        <v>277</v>
      </c>
      <c r="AO23" s="17">
        <v>1</v>
      </c>
      <c r="AP23" s="17">
        <v>12</v>
      </c>
      <c r="AQ23" s="17">
        <v>24</v>
      </c>
      <c r="AR23" s="17">
        <v>12</v>
      </c>
      <c r="AS23" s="17">
        <v>12</v>
      </c>
      <c r="AT23" s="17">
        <v>578</v>
      </c>
      <c r="AU23" s="17">
        <v>578</v>
      </c>
      <c r="AV23" s="17">
        <v>578</v>
      </c>
      <c r="AW23" t="s">
        <v>547</v>
      </c>
      <c r="AX23" t="s">
        <v>547</v>
      </c>
      <c r="AY23" s="1" t="s">
        <v>549</v>
      </c>
      <c r="AZ23" t="s">
        <v>619</v>
      </c>
      <c r="BA23" t="s">
        <v>418</v>
      </c>
      <c r="BB23" s="1" t="s">
        <v>620</v>
      </c>
      <c r="BC23" s="2" t="s">
        <v>284</v>
      </c>
      <c r="BD23" s="2" t="s">
        <v>621</v>
      </c>
      <c r="BE23" s="3" t="s">
        <v>289</v>
      </c>
      <c r="BF23" s="1" t="s">
        <v>622</v>
      </c>
      <c r="BG23" s="3" t="s">
        <v>553</v>
      </c>
      <c r="BH23" s="14" t="s">
        <v>623</v>
      </c>
      <c r="BI23" s="2" t="s">
        <v>359</v>
      </c>
      <c r="BJ23" s="2" t="s">
        <v>624</v>
      </c>
      <c r="BK23" s="2" t="s">
        <v>403</v>
      </c>
      <c r="BL23" s="2" t="s">
        <v>625</v>
      </c>
      <c r="BM23" t="s">
        <v>284</v>
      </c>
      <c r="BN23" s="2" t="s">
        <v>277</v>
      </c>
      <c r="BO23" s="2" t="s">
        <v>626</v>
      </c>
      <c r="BP23" s="2" t="s">
        <v>627</v>
      </c>
      <c r="BQ23" s="2" t="s">
        <v>336</v>
      </c>
      <c r="BR23" s="1" t="s">
        <v>628</v>
      </c>
      <c r="BS23" s="2" t="s">
        <v>362</v>
      </c>
      <c r="BT23" s="2" t="s">
        <v>629</v>
      </c>
      <c r="BU23" s="2" t="s">
        <v>284</v>
      </c>
      <c r="BV23" s="2" t="s">
        <v>630</v>
      </c>
      <c r="BW23" s="1" t="s">
        <v>284</v>
      </c>
      <c r="BX23" s="1" t="s">
        <v>631</v>
      </c>
      <c r="BY23" s="2" t="s">
        <v>284</v>
      </c>
      <c r="BZ23" s="2" t="s">
        <v>277</v>
      </c>
      <c r="CA23" s="1" t="s">
        <v>632</v>
      </c>
      <c r="CB23" s="1" t="s">
        <v>633</v>
      </c>
      <c r="CC23" s="1" t="s">
        <v>634</v>
      </c>
      <c r="CD23" s="48" t="s">
        <v>278</v>
      </c>
      <c r="CE23" s="48" t="s">
        <v>278</v>
      </c>
      <c r="CF23" s="48" t="s">
        <v>278</v>
      </c>
      <c r="CG23" s="48" t="s">
        <v>278</v>
      </c>
      <c r="CH23" s="1" t="s">
        <v>635</v>
      </c>
      <c r="CI23" s="17" t="s">
        <v>278</v>
      </c>
      <c r="CJ23" s="17" t="s">
        <v>278</v>
      </c>
      <c r="CK23" s="17" t="s">
        <v>278</v>
      </c>
      <c r="CL23" s="1" t="s">
        <v>277</v>
      </c>
      <c r="CM23" s="1" t="s">
        <v>277</v>
      </c>
      <c r="CN23" s="1" t="s">
        <v>277</v>
      </c>
      <c r="CO23" s="1" t="s">
        <v>277</v>
      </c>
      <c r="CP23" s="1" t="s">
        <v>277</v>
      </c>
      <c r="CQ23" s="1" t="s">
        <v>277</v>
      </c>
      <c r="CR23" s="1" t="s">
        <v>277</v>
      </c>
      <c r="CS23" s="1" t="s">
        <v>277</v>
      </c>
      <c r="CT23" s="1" t="s">
        <v>277</v>
      </c>
      <c r="CU23" s="1" t="s">
        <v>277</v>
      </c>
      <c r="CV23" s="1" t="s">
        <v>277</v>
      </c>
      <c r="CW23" s="1" t="s">
        <v>277</v>
      </c>
      <c r="CX23" s="1" t="s">
        <v>277</v>
      </c>
      <c r="CY23" s="1" t="s">
        <v>277</v>
      </c>
      <c r="CZ23" s="1" t="s">
        <v>277</v>
      </c>
      <c r="DA23" s="1" t="s">
        <v>277</v>
      </c>
      <c r="DB23" s="1" t="s">
        <v>277</v>
      </c>
      <c r="DC23" s="1" t="s">
        <v>277</v>
      </c>
      <c r="DD23" s="1" t="s">
        <v>277</v>
      </c>
      <c r="DE23" s="1" t="s">
        <v>277</v>
      </c>
      <c r="DF23" s="1" t="s">
        <v>277</v>
      </c>
      <c r="DG23" s="1" t="s">
        <v>277</v>
      </c>
      <c r="DH23" s="1" t="s">
        <v>277</v>
      </c>
      <c r="DI23" s="1" t="s">
        <v>277</v>
      </c>
      <c r="DJ23" s="1" t="s">
        <v>277</v>
      </c>
      <c r="DK23" s="1" t="s">
        <v>277</v>
      </c>
      <c r="DL23" s="1" t="s">
        <v>278</v>
      </c>
      <c r="DM23" s="1" t="s">
        <v>278</v>
      </c>
      <c r="DN23" s="48" t="s">
        <v>278</v>
      </c>
      <c r="DO23" s="48" t="s">
        <v>278</v>
      </c>
      <c r="DP23" s="1" t="s">
        <v>277</v>
      </c>
      <c r="DQ23" s="17" t="s">
        <v>278</v>
      </c>
      <c r="DR23" s="17" t="s">
        <v>278</v>
      </c>
      <c r="DS23" s="17" t="s">
        <v>278</v>
      </c>
      <c r="DT23" s="1" t="s">
        <v>277</v>
      </c>
      <c r="DU23" s="1" t="s">
        <v>277</v>
      </c>
      <c r="DV23" s="1" t="s">
        <v>277</v>
      </c>
      <c r="DW23" s="1" t="s">
        <v>277</v>
      </c>
      <c r="DX23" s="1" t="s">
        <v>277</v>
      </c>
      <c r="DY23" s="1" t="s">
        <v>277</v>
      </c>
      <c r="DZ23" s="1" t="s">
        <v>277</v>
      </c>
      <c r="EA23" s="1" t="s">
        <v>277</v>
      </c>
      <c r="EB23" s="1" t="s">
        <v>277</v>
      </c>
      <c r="EC23" s="1" t="s">
        <v>277</v>
      </c>
      <c r="ED23" s="1" t="s">
        <v>277</v>
      </c>
      <c r="EE23" s="1" t="s">
        <v>277</v>
      </c>
      <c r="EF23" s="1" t="s">
        <v>277</v>
      </c>
      <c r="EG23" s="1" t="s">
        <v>277</v>
      </c>
      <c r="EH23" s="1" t="s">
        <v>277</v>
      </c>
      <c r="EI23" s="1" t="s">
        <v>277</v>
      </c>
      <c r="EJ23" s="1" t="s">
        <v>277</v>
      </c>
      <c r="EK23" s="1" t="s">
        <v>277</v>
      </c>
      <c r="EL23" s="1" t="s">
        <v>277</v>
      </c>
      <c r="EM23" s="1" t="s">
        <v>277</v>
      </c>
      <c r="EN23" s="1" t="s">
        <v>277</v>
      </c>
      <c r="EO23" s="1" t="s">
        <v>277</v>
      </c>
      <c r="EP23" s="1" t="s">
        <v>277</v>
      </c>
      <c r="EQ23" s="1" t="s">
        <v>277</v>
      </c>
    </row>
    <row r="24" spans="1:147" s="1" customFormat="1" ht="15" customHeight="1">
      <c r="A24" s="30" t="s">
        <v>254</v>
      </c>
      <c r="B24" s="1">
        <v>21</v>
      </c>
      <c r="C24" s="1">
        <v>15</v>
      </c>
      <c r="D24" s="1">
        <v>1997</v>
      </c>
      <c r="E24" s="4" t="s">
        <v>636</v>
      </c>
      <c r="F24" s="4" t="s">
        <v>636</v>
      </c>
      <c r="G24" s="15">
        <v>1</v>
      </c>
      <c r="H24" s="15">
        <v>1</v>
      </c>
      <c r="I24" s="15">
        <v>1</v>
      </c>
      <c r="J24" s="4" t="s">
        <v>637</v>
      </c>
      <c r="K24" s="4" t="s">
        <v>638</v>
      </c>
      <c r="L24" s="1" t="s">
        <v>639</v>
      </c>
      <c r="M24" s="4" t="s">
        <v>640</v>
      </c>
      <c r="N24" s="1">
        <v>121</v>
      </c>
      <c r="O24" s="1" t="s">
        <v>641</v>
      </c>
      <c r="P24" s="1" t="s">
        <v>642</v>
      </c>
      <c r="Q24" s="1" t="s">
        <v>643</v>
      </c>
      <c r="R24" s="1" t="s">
        <v>1736</v>
      </c>
      <c r="S24" s="1" t="s">
        <v>325</v>
      </c>
      <c r="T24" s="1" t="s">
        <v>264</v>
      </c>
      <c r="U24" s="1" t="s">
        <v>644</v>
      </c>
      <c r="V24" s="1" t="s">
        <v>645</v>
      </c>
      <c r="W24" t="s">
        <v>646</v>
      </c>
      <c r="X24" s="10" t="s">
        <v>278</v>
      </c>
      <c r="Y24" s="10" t="s">
        <v>278</v>
      </c>
      <c r="Z24" s="10" t="s">
        <v>278</v>
      </c>
      <c r="AA24" s="10" t="s">
        <v>278</v>
      </c>
      <c r="AB24" s="1" t="s">
        <v>647</v>
      </c>
      <c r="AC24" s="1">
        <v>1966</v>
      </c>
      <c r="AD24" s="10">
        <v>1995</v>
      </c>
      <c r="AE24" s="10" t="s">
        <v>278</v>
      </c>
      <c r="AF24" s="1" t="s">
        <v>439</v>
      </c>
      <c r="AG24" s="1" t="s">
        <v>590</v>
      </c>
      <c r="AH24" s="1" t="s">
        <v>648</v>
      </c>
      <c r="AI24" s="1" t="s">
        <v>272</v>
      </c>
      <c r="AJ24" s="1" t="s">
        <v>649</v>
      </c>
      <c r="AK24" s="1" t="s">
        <v>274</v>
      </c>
      <c r="AL24" s="1" t="s">
        <v>490</v>
      </c>
      <c r="AM24" t="s">
        <v>375</v>
      </c>
      <c r="AN24" s="10" t="s">
        <v>277</v>
      </c>
      <c r="AO24" s="17">
        <v>10</v>
      </c>
      <c r="AP24" s="17" t="s">
        <v>278</v>
      </c>
      <c r="AQ24" s="17">
        <v>20</v>
      </c>
      <c r="AR24" s="17">
        <v>10</v>
      </c>
      <c r="AS24" s="17">
        <v>8</v>
      </c>
      <c r="AT24" s="17">
        <v>133939</v>
      </c>
      <c r="AU24" s="17">
        <v>133939</v>
      </c>
      <c r="AV24" s="17">
        <v>10</v>
      </c>
      <c r="AW24" t="s">
        <v>650</v>
      </c>
      <c r="AX24" s="12" t="s">
        <v>651</v>
      </c>
      <c r="AY24" s="1" t="s">
        <v>352</v>
      </c>
      <c r="AZ24" t="s">
        <v>652</v>
      </c>
      <c r="BA24" t="s">
        <v>284</v>
      </c>
      <c r="BB24" s="2" t="s">
        <v>277</v>
      </c>
      <c r="BC24" s="2" t="s">
        <v>284</v>
      </c>
      <c r="BD24" s="2" t="s">
        <v>277</v>
      </c>
      <c r="BE24" s="3" t="s">
        <v>284</v>
      </c>
      <c r="BF24" s="2" t="s">
        <v>277</v>
      </c>
      <c r="BG24" s="3" t="s">
        <v>284</v>
      </c>
      <c r="BH24" s="2" t="s">
        <v>277</v>
      </c>
      <c r="BI24" s="2" t="s">
        <v>284</v>
      </c>
      <c r="BJ24" s="2" t="s">
        <v>653</v>
      </c>
      <c r="BK24" t="s">
        <v>284</v>
      </c>
      <c r="BL24" s="2" t="s">
        <v>277</v>
      </c>
      <c r="BM24" t="s">
        <v>284</v>
      </c>
      <c r="BN24" s="2" t="s">
        <v>277</v>
      </c>
      <c r="BO24" s="2" t="s">
        <v>284</v>
      </c>
      <c r="BP24" s="2" t="s">
        <v>277</v>
      </c>
      <c r="BQ24" s="2" t="s">
        <v>362</v>
      </c>
      <c r="BR24" s="2" t="s">
        <v>654</v>
      </c>
      <c r="BS24" s="2" t="s">
        <v>362</v>
      </c>
      <c r="BT24" s="2" t="s">
        <v>655</v>
      </c>
      <c r="BU24" s="2" t="s">
        <v>284</v>
      </c>
      <c r="BV24" s="2" t="s">
        <v>277</v>
      </c>
      <c r="BW24" s="1" t="s">
        <v>284</v>
      </c>
      <c r="BX24" s="1" t="s">
        <v>277</v>
      </c>
      <c r="BY24" s="2" t="s">
        <v>284</v>
      </c>
      <c r="BZ24" s="2" t="s">
        <v>277</v>
      </c>
      <c r="CA24" s="1" t="s">
        <v>656</v>
      </c>
      <c r="CB24" s="1" t="s">
        <v>657</v>
      </c>
      <c r="CC24" s="1" t="s">
        <v>658</v>
      </c>
      <c r="CD24" s="48">
        <v>4.249</v>
      </c>
      <c r="CE24" s="48">
        <v>4.081</v>
      </c>
      <c r="CF24" s="48">
        <f>CE24/(CE24+CD24)</f>
        <v>0.48991596638655466</v>
      </c>
      <c r="CG24" s="48">
        <f>IF(Data!$CB24="NA",".",Data!$CF24-(1-Data!$CF24))</f>
        <v>-0.020168067226890685</v>
      </c>
      <c r="CH24" s="1" t="s">
        <v>659</v>
      </c>
      <c r="CI24" s="17">
        <v>0</v>
      </c>
      <c r="CJ24" s="17">
        <v>1</v>
      </c>
      <c r="CK24" s="17">
        <v>0</v>
      </c>
      <c r="CL24" s="10" t="s">
        <v>303</v>
      </c>
      <c r="CM24" s="10" t="s">
        <v>298</v>
      </c>
      <c r="CN24" s="10" t="s">
        <v>299</v>
      </c>
      <c r="CO24" s="10" t="s">
        <v>299</v>
      </c>
      <c r="CP24" s="10" t="s">
        <v>299</v>
      </c>
      <c r="CQ24" s="10" t="s">
        <v>299</v>
      </c>
      <c r="CR24" s="10" t="s">
        <v>298</v>
      </c>
      <c r="CS24" s="10" t="s">
        <v>298</v>
      </c>
      <c r="CT24" s="10" t="s">
        <v>298</v>
      </c>
      <c r="CU24" s="10" t="s">
        <v>298</v>
      </c>
      <c r="CV24" s="10" t="s">
        <v>298</v>
      </c>
      <c r="CW24" s="10" t="s">
        <v>298</v>
      </c>
      <c r="CX24" s="10" t="s">
        <v>298</v>
      </c>
      <c r="CY24" s="10" t="s">
        <v>298</v>
      </c>
      <c r="CZ24" s="10" t="s">
        <v>300</v>
      </c>
      <c r="DA24" s="10" t="s">
        <v>298</v>
      </c>
      <c r="DB24" s="10" t="s">
        <v>298</v>
      </c>
      <c r="DC24" s="10" t="s">
        <v>298</v>
      </c>
      <c r="DD24" s="10" t="s">
        <v>298</v>
      </c>
      <c r="DE24" s="10" t="s">
        <v>299</v>
      </c>
      <c r="DF24" s="10" t="s">
        <v>299</v>
      </c>
      <c r="DG24" s="10" t="s">
        <v>298</v>
      </c>
      <c r="DH24" s="10" t="s">
        <v>298</v>
      </c>
      <c r="DI24" s="10" t="s">
        <v>298</v>
      </c>
      <c r="DJ24" s="1" t="s">
        <v>277</v>
      </c>
      <c r="DK24" s="1" t="s">
        <v>277</v>
      </c>
      <c r="DL24" s="1" t="s">
        <v>278</v>
      </c>
      <c r="DM24" s="1" t="s">
        <v>278</v>
      </c>
      <c r="DN24" s="48" t="s">
        <v>278</v>
      </c>
      <c r="DO24" s="48" t="s">
        <v>278</v>
      </c>
      <c r="DP24" s="1" t="s">
        <v>277</v>
      </c>
      <c r="DQ24" s="17" t="s">
        <v>278</v>
      </c>
      <c r="DR24" s="17" t="s">
        <v>278</v>
      </c>
      <c r="DS24" s="17" t="s">
        <v>278</v>
      </c>
      <c r="DT24" s="1" t="s">
        <v>277</v>
      </c>
      <c r="DU24" s="1" t="s">
        <v>277</v>
      </c>
      <c r="DV24" s="1" t="s">
        <v>277</v>
      </c>
      <c r="DW24" s="1" t="s">
        <v>277</v>
      </c>
      <c r="DX24" s="1" t="s">
        <v>277</v>
      </c>
      <c r="DY24" s="1" t="s">
        <v>277</v>
      </c>
      <c r="DZ24" s="1" t="s">
        <v>277</v>
      </c>
      <c r="EA24" s="1" t="s">
        <v>277</v>
      </c>
      <c r="EB24" s="1" t="s">
        <v>277</v>
      </c>
      <c r="EC24" s="1" t="s">
        <v>277</v>
      </c>
      <c r="ED24" s="1" t="s">
        <v>277</v>
      </c>
      <c r="EE24" s="1" t="s">
        <v>277</v>
      </c>
      <c r="EF24" s="1" t="s">
        <v>277</v>
      </c>
      <c r="EG24" s="1" t="s">
        <v>277</v>
      </c>
      <c r="EH24" s="1" t="s">
        <v>277</v>
      </c>
      <c r="EI24" s="1" t="s">
        <v>277</v>
      </c>
      <c r="EJ24" s="1" t="s">
        <v>277</v>
      </c>
      <c r="EK24" s="1" t="s">
        <v>277</v>
      </c>
      <c r="EL24" s="1" t="s">
        <v>277</v>
      </c>
      <c r="EM24" s="1" t="s">
        <v>277</v>
      </c>
      <c r="EN24" s="1" t="s">
        <v>277</v>
      </c>
      <c r="EO24" s="1" t="s">
        <v>277</v>
      </c>
      <c r="EP24" s="1" t="s">
        <v>277</v>
      </c>
      <c r="EQ24" s="1" t="s">
        <v>277</v>
      </c>
    </row>
    <row r="25" spans="1:147" s="1" customFormat="1" ht="15" customHeight="1">
      <c r="A25" s="30" t="s">
        <v>254</v>
      </c>
      <c r="B25" s="1">
        <v>22</v>
      </c>
      <c r="C25" s="1">
        <v>16</v>
      </c>
      <c r="D25" s="1">
        <v>1997</v>
      </c>
      <c r="E25" s="4" t="s">
        <v>660</v>
      </c>
      <c r="F25" s="4" t="s">
        <v>660</v>
      </c>
      <c r="G25" s="15">
        <v>2</v>
      </c>
      <c r="H25" s="15">
        <v>2</v>
      </c>
      <c r="I25" s="15">
        <v>1</v>
      </c>
      <c r="J25" s="4" t="s">
        <v>661</v>
      </c>
      <c r="K25" s="4" t="s">
        <v>638</v>
      </c>
      <c r="L25" s="1" t="s">
        <v>639</v>
      </c>
      <c r="M25" s="4" t="s">
        <v>662</v>
      </c>
      <c r="N25" s="1">
        <v>128</v>
      </c>
      <c r="O25" s="1" t="s">
        <v>260</v>
      </c>
      <c r="P25" s="1" t="s">
        <v>261</v>
      </c>
      <c r="Q25" s="1" t="s">
        <v>487</v>
      </c>
      <c r="R25" s="1" t="s">
        <v>1733</v>
      </c>
      <c r="S25" s="1" t="s">
        <v>263</v>
      </c>
      <c r="T25" s="1" t="s">
        <v>264</v>
      </c>
      <c r="U25" s="1" t="s">
        <v>265</v>
      </c>
      <c r="V25" s="1" t="s">
        <v>266</v>
      </c>
      <c r="W25" t="s">
        <v>267</v>
      </c>
      <c r="X25" s="10">
        <v>7.08</v>
      </c>
      <c r="Y25" s="10">
        <v>2.14</v>
      </c>
      <c r="Z25" s="10">
        <v>1.94</v>
      </c>
      <c r="AA25" s="10">
        <v>435</v>
      </c>
      <c r="AB25" s="1" t="s">
        <v>663</v>
      </c>
      <c r="AC25" s="1">
        <v>1993</v>
      </c>
      <c r="AD25" s="1">
        <v>1994</v>
      </c>
      <c r="AE25" s="6">
        <f>48/435*100</f>
        <v>11.03448275862069</v>
      </c>
      <c r="AF25" s="1" t="s">
        <v>664</v>
      </c>
      <c r="AG25" s="1" t="s">
        <v>270</v>
      </c>
      <c r="AH25" s="1" t="s">
        <v>665</v>
      </c>
      <c r="AI25" s="1" t="s">
        <v>272</v>
      </c>
      <c r="AJ25" s="1" t="s">
        <v>666</v>
      </c>
      <c r="AK25" s="1" t="s">
        <v>274</v>
      </c>
      <c r="AL25" s="1" t="s">
        <v>667</v>
      </c>
      <c r="AM25" t="s">
        <v>375</v>
      </c>
      <c r="AN25" s="10" t="s">
        <v>277</v>
      </c>
      <c r="AO25" s="17">
        <v>1</v>
      </c>
      <c r="AP25" s="18">
        <v>0</v>
      </c>
      <c r="AQ25" s="17">
        <v>75</v>
      </c>
      <c r="AR25" s="17">
        <v>24</v>
      </c>
      <c r="AS25" s="17">
        <v>27</v>
      </c>
      <c r="AT25" s="17" t="s">
        <v>278</v>
      </c>
      <c r="AU25" s="17" t="s">
        <v>278</v>
      </c>
      <c r="AV25" s="17" t="s">
        <v>278</v>
      </c>
      <c r="AW25" t="s">
        <v>668</v>
      </c>
      <c r="AX25" s="12" t="s">
        <v>669</v>
      </c>
      <c r="AY25" s="1" t="s">
        <v>464</v>
      </c>
      <c r="AZ25" t="s">
        <v>670</v>
      </c>
      <c r="BA25" t="s">
        <v>284</v>
      </c>
      <c r="BB25" s="2" t="s">
        <v>277</v>
      </c>
      <c r="BC25" s="2" t="s">
        <v>284</v>
      </c>
      <c r="BD25" s="2" t="s">
        <v>277</v>
      </c>
      <c r="BE25" s="3" t="s">
        <v>284</v>
      </c>
      <c r="BF25" s="2" t="s">
        <v>277</v>
      </c>
      <c r="BG25" s="3" t="s">
        <v>284</v>
      </c>
      <c r="BH25" s="2" t="s">
        <v>277</v>
      </c>
      <c r="BI25" s="2" t="s">
        <v>284</v>
      </c>
      <c r="BJ25" s="2" t="s">
        <v>671</v>
      </c>
      <c r="BK25" t="s">
        <v>284</v>
      </c>
      <c r="BL25" s="2" t="s">
        <v>277</v>
      </c>
      <c r="BM25" t="s">
        <v>284</v>
      </c>
      <c r="BN25" s="2" t="s">
        <v>277</v>
      </c>
      <c r="BO25" s="2" t="s">
        <v>284</v>
      </c>
      <c r="BP25" s="2" t="s">
        <v>277</v>
      </c>
      <c r="BQ25" s="2" t="s">
        <v>362</v>
      </c>
      <c r="BR25" s="1" t="s">
        <v>672</v>
      </c>
      <c r="BS25" s="2" t="s">
        <v>362</v>
      </c>
      <c r="BT25" s="2" t="s">
        <v>277</v>
      </c>
      <c r="BU25" s="2" t="s">
        <v>284</v>
      </c>
      <c r="BV25" s="2" t="s">
        <v>277</v>
      </c>
      <c r="BW25" s="1" t="s">
        <v>284</v>
      </c>
      <c r="BX25" s="1" t="s">
        <v>277</v>
      </c>
      <c r="BY25" s="2" t="s">
        <v>284</v>
      </c>
      <c r="BZ25" s="2" t="s">
        <v>277</v>
      </c>
      <c r="CA25" s="1" t="s">
        <v>673</v>
      </c>
      <c r="CB25" s="1" t="s">
        <v>674</v>
      </c>
      <c r="CC25" s="30" t="s">
        <v>675</v>
      </c>
      <c r="CD25" s="48">
        <v>188</v>
      </c>
      <c r="CE25" s="48">
        <v>239</v>
      </c>
      <c r="CF25" s="48">
        <f>CE25/(CE25+CD25)</f>
        <v>0.5597189695550351</v>
      </c>
      <c r="CG25" s="48">
        <f>IF(Data!$CB25="NA",".",Data!$CF25-(1-Data!$CF25))</f>
        <v>0.11943793911007017</v>
      </c>
      <c r="CH25" s="1" t="s">
        <v>277</v>
      </c>
      <c r="CI25" s="17">
        <v>0</v>
      </c>
      <c r="CJ25" s="17">
        <v>1</v>
      </c>
      <c r="CK25" s="17">
        <v>0</v>
      </c>
      <c r="CL25" s="10" t="s">
        <v>303</v>
      </c>
      <c r="CM25" s="10" t="s">
        <v>298</v>
      </c>
      <c r="CN25" s="10" t="s">
        <v>299</v>
      </c>
      <c r="CO25" s="10" t="s">
        <v>299</v>
      </c>
      <c r="CP25" s="10" t="s">
        <v>299</v>
      </c>
      <c r="CQ25" s="10" t="s">
        <v>299</v>
      </c>
      <c r="CR25" s="10" t="s">
        <v>299</v>
      </c>
      <c r="CS25" s="10" t="s">
        <v>298</v>
      </c>
      <c r="CT25" s="10" t="s">
        <v>298</v>
      </c>
      <c r="CU25" s="10" t="s">
        <v>298</v>
      </c>
      <c r="CV25" s="10" t="s">
        <v>299</v>
      </c>
      <c r="CW25" s="10" t="s">
        <v>298</v>
      </c>
      <c r="CX25" s="10" t="s">
        <v>298</v>
      </c>
      <c r="CY25" s="10" t="s">
        <v>298</v>
      </c>
      <c r="CZ25" s="10" t="s">
        <v>300</v>
      </c>
      <c r="DA25" s="10" t="s">
        <v>298</v>
      </c>
      <c r="DB25" s="10" t="s">
        <v>298</v>
      </c>
      <c r="DC25" s="10" t="s">
        <v>298</v>
      </c>
      <c r="DD25" s="10" t="s">
        <v>298</v>
      </c>
      <c r="DE25" s="10" t="s">
        <v>299</v>
      </c>
      <c r="DF25" s="10" t="s">
        <v>298</v>
      </c>
      <c r="DG25" s="10" t="s">
        <v>298</v>
      </c>
      <c r="DH25" s="10" t="s">
        <v>298</v>
      </c>
      <c r="DI25" s="10" t="s">
        <v>298</v>
      </c>
      <c r="DJ25" s="1" t="s">
        <v>277</v>
      </c>
      <c r="DK25" s="1" t="s">
        <v>277</v>
      </c>
      <c r="DL25" s="1" t="s">
        <v>278</v>
      </c>
      <c r="DM25" s="1" t="s">
        <v>278</v>
      </c>
      <c r="DN25" s="48" t="s">
        <v>278</v>
      </c>
      <c r="DO25" s="48" t="s">
        <v>278</v>
      </c>
      <c r="DP25" s="1" t="s">
        <v>277</v>
      </c>
      <c r="DQ25" s="17" t="s">
        <v>278</v>
      </c>
      <c r="DR25" s="17" t="s">
        <v>278</v>
      </c>
      <c r="DS25" s="17" t="s">
        <v>278</v>
      </c>
      <c r="DT25" s="1" t="s">
        <v>277</v>
      </c>
      <c r="DU25" s="1" t="s">
        <v>277</v>
      </c>
      <c r="DV25" s="1" t="s">
        <v>277</v>
      </c>
      <c r="DW25" s="1" t="s">
        <v>277</v>
      </c>
      <c r="DX25" s="1" t="s">
        <v>277</v>
      </c>
      <c r="DY25" s="1" t="s">
        <v>277</v>
      </c>
      <c r="DZ25" s="1" t="s">
        <v>277</v>
      </c>
      <c r="EA25" s="1" t="s">
        <v>277</v>
      </c>
      <c r="EB25" s="1" t="s">
        <v>277</v>
      </c>
      <c r="EC25" s="1" t="s">
        <v>277</v>
      </c>
      <c r="ED25" s="1" t="s">
        <v>277</v>
      </c>
      <c r="EE25" s="1" t="s">
        <v>277</v>
      </c>
      <c r="EF25" s="1" t="s">
        <v>277</v>
      </c>
      <c r="EG25" s="1" t="s">
        <v>277</v>
      </c>
      <c r="EH25" s="1" t="s">
        <v>277</v>
      </c>
      <c r="EI25" s="1" t="s">
        <v>277</v>
      </c>
      <c r="EJ25" s="1" t="s">
        <v>277</v>
      </c>
      <c r="EK25" s="1" t="s">
        <v>277</v>
      </c>
      <c r="EL25" s="1" t="s">
        <v>277</v>
      </c>
      <c r="EM25" s="1" t="s">
        <v>277</v>
      </c>
      <c r="EN25" s="1" t="s">
        <v>277</v>
      </c>
      <c r="EO25" s="1" t="s">
        <v>277</v>
      </c>
      <c r="EP25" s="1" t="s">
        <v>277</v>
      </c>
      <c r="EQ25" s="1" t="s">
        <v>277</v>
      </c>
    </row>
    <row r="26" spans="1:147" s="1" customFormat="1" ht="15" customHeight="1">
      <c r="A26" s="30" t="s">
        <v>254</v>
      </c>
      <c r="B26" s="1">
        <v>23</v>
      </c>
      <c r="C26" s="1">
        <v>17</v>
      </c>
      <c r="D26" s="1">
        <v>2013</v>
      </c>
      <c r="E26" s="4" t="s">
        <v>676</v>
      </c>
      <c r="F26" s="4" t="s">
        <v>676</v>
      </c>
      <c r="G26" s="15">
        <v>3</v>
      </c>
      <c r="H26" s="15">
        <v>4</v>
      </c>
      <c r="I26" s="15">
        <v>1</v>
      </c>
      <c r="J26" s="4" t="s">
        <v>677</v>
      </c>
      <c r="K26" s="4" t="s">
        <v>514</v>
      </c>
      <c r="L26" s="1" t="s">
        <v>258</v>
      </c>
      <c r="M26" s="4" t="s">
        <v>678</v>
      </c>
      <c r="N26" s="1">
        <v>38</v>
      </c>
      <c r="O26" s="1" t="s">
        <v>260</v>
      </c>
      <c r="P26" s="1" t="s">
        <v>261</v>
      </c>
      <c r="Q26" s="1" t="s">
        <v>411</v>
      </c>
      <c r="S26" s="1" t="s">
        <v>412</v>
      </c>
      <c r="T26" s="1" t="s">
        <v>413</v>
      </c>
      <c r="U26" s="1" t="s">
        <v>265</v>
      </c>
      <c r="V26" s="1" t="s">
        <v>266</v>
      </c>
      <c r="W26" t="s">
        <v>267</v>
      </c>
      <c r="X26" s="10">
        <v>1.57</v>
      </c>
      <c r="Y26" s="10">
        <v>2.1</v>
      </c>
      <c r="Z26" s="10">
        <v>1.99</v>
      </c>
      <c r="AA26" s="10">
        <v>435</v>
      </c>
      <c r="AB26" s="1" t="s">
        <v>679</v>
      </c>
      <c r="AC26" s="1">
        <v>2006</v>
      </c>
      <c r="AD26" s="1">
        <v>2008</v>
      </c>
      <c r="AE26" s="1">
        <v>16.3</v>
      </c>
      <c r="AF26" s="1" t="s">
        <v>269</v>
      </c>
      <c r="AG26" s="1" t="s">
        <v>270</v>
      </c>
      <c r="AH26" s="1" t="s">
        <v>680</v>
      </c>
      <c r="AI26" s="1" t="s">
        <v>272</v>
      </c>
      <c r="AJ26" s="1" t="s">
        <v>681</v>
      </c>
      <c r="AK26" s="1" t="s">
        <v>274</v>
      </c>
      <c r="AL26" s="1" t="s">
        <v>682</v>
      </c>
      <c r="AM26" s="1" t="s">
        <v>276</v>
      </c>
      <c r="AN26" s="10" t="s">
        <v>277</v>
      </c>
      <c r="AO26" s="17">
        <v>1</v>
      </c>
      <c r="AP26" s="17">
        <v>30</v>
      </c>
      <c r="AQ26" s="17">
        <v>60</v>
      </c>
      <c r="AR26" s="17">
        <v>10</v>
      </c>
      <c r="AS26" s="17">
        <v>280</v>
      </c>
      <c r="AT26" s="17">
        <v>9725</v>
      </c>
      <c r="AU26" s="17">
        <v>9725</v>
      </c>
      <c r="AV26" s="17">
        <v>8744</v>
      </c>
      <c r="AW26" t="s">
        <v>683</v>
      </c>
      <c r="AX26" s="12" t="s">
        <v>684</v>
      </c>
      <c r="AY26" s="1" t="s">
        <v>284</v>
      </c>
      <c r="AZ26" t="s">
        <v>277</v>
      </c>
      <c r="BA26" t="s">
        <v>284</v>
      </c>
      <c r="BB26" s="2" t="s">
        <v>277</v>
      </c>
      <c r="BC26" s="2" t="s">
        <v>289</v>
      </c>
      <c r="BD26" s="2" t="s">
        <v>685</v>
      </c>
      <c r="BE26" s="3" t="s">
        <v>284</v>
      </c>
      <c r="BF26" s="2" t="s">
        <v>277</v>
      </c>
      <c r="BG26" s="3" t="s">
        <v>284</v>
      </c>
      <c r="BH26" s="2" t="s">
        <v>277</v>
      </c>
      <c r="BI26" s="2" t="s">
        <v>284</v>
      </c>
      <c r="BJ26" s="1" t="s">
        <v>277</v>
      </c>
      <c r="BK26" s="2" t="s">
        <v>284</v>
      </c>
      <c r="BL26" s="2" t="s">
        <v>277</v>
      </c>
      <c r="BM26" t="s">
        <v>686</v>
      </c>
      <c r="BN26" s="1" t="s">
        <v>687</v>
      </c>
      <c r="BO26" s="2" t="s">
        <v>386</v>
      </c>
      <c r="BP26" s="1" t="s">
        <v>688</v>
      </c>
      <c r="BQ26" s="2" t="s">
        <v>362</v>
      </c>
      <c r="BR26" s="1" t="s">
        <v>672</v>
      </c>
      <c r="BS26" s="2" t="s">
        <v>362</v>
      </c>
      <c r="BT26" s="2" t="s">
        <v>277</v>
      </c>
      <c r="BU26" s="2" t="s">
        <v>284</v>
      </c>
      <c r="BV26" s="1" t="s">
        <v>689</v>
      </c>
      <c r="BW26" s="1" t="s">
        <v>284</v>
      </c>
      <c r="BX26" s="1" t="s">
        <v>277</v>
      </c>
      <c r="BY26" s="2" t="s">
        <v>284</v>
      </c>
      <c r="BZ26" s="2" t="s">
        <v>277</v>
      </c>
      <c r="CA26" s="1" t="s">
        <v>690</v>
      </c>
      <c r="CB26" s="1" t="s">
        <v>277</v>
      </c>
      <c r="CC26" s="1" t="s">
        <v>277</v>
      </c>
      <c r="CD26" s="1" t="s">
        <v>278</v>
      </c>
      <c r="CE26" s="1" t="s">
        <v>278</v>
      </c>
      <c r="CF26" s="5" t="s">
        <v>278</v>
      </c>
      <c r="CG26" s="48" t="str">
        <f>IF(Data!$CB26="NA",".",Data!$CF26-(1-Data!$CF26))</f>
        <v>.</v>
      </c>
      <c r="CH26" s="1" t="s">
        <v>277</v>
      </c>
      <c r="CI26" s="17" t="s">
        <v>278</v>
      </c>
      <c r="CJ26" s="17" t="s">
        <v>278</v>
      </c>
      <c r="CK26" s="17" t="s">
        <v>278</v>
      </c>
      <c r="CL26" s="1" t="s">
        <v>277</v>
      </c>
      <c r="CM26" s="1" t="s">
        <v>277</v>
      </c>
      <c r="CN26" s="1" t="s">
        <v>277</v>
      </c>
      <c r="CO26" s="1" t="s">
        <v>277</v>
      </c>
      <c r="CP26" s="1" t="s">
        <v>277</v>
      </c>
      <c r="CQ26" s="1" t="s">
        <v>277</v>
      </c>
      <c r="CR26" s="1" t="s">
        <v>277</v>
      </c>
      <c r="CS26" s="1" t="s">
        <v>277</v>
      </c>
      <c r="CT26" s="1" t="s">
        <v>277</v>
      </c>
      <c r="CU26" s="1" t="s">
        <v>277</v>
      </c>
      <c r="CV26" s="1" t="s">
        <v>277</v>
      </c>
      <c r="CW26" s="1" t="s">
        <v>277</v>
      </c>
      <c r="CX26" s="1" t="s">
        <v>277</v>
      </c>
      <c r="CY26" s="1" t="s">
        <v>277</v>
      </c>
      <c r="CZ26" s="1" t="s">
        <v>277</v>
      </c>
      <c r="DA26" s="1" t="s">
        <v>277</v>
      </c>
      <c r="DB26" s="1" t="s">
        <v>277</v>
      </c>
      <c r="DC26" s="1" t="s">
        <v>277</v>
      </c>
      <c r="DD26" s="1" t="s">
        <v>277</v>
      </c>
      <c r="DE26" s="1" t="s">
        <v>277</v>
      </c>
      <c r="DF26" s="1" t="s">
        <v>277</v>
      </c>
      <c r="DG26" s="1" t="s">
        <v>277</v>
      </c>
      <c r="DH26" s="1" t="s">
        <v>277</v>
      </c>
      <c r="DI26" s="1" t="s">
        <v>277</v>
      </c>
      <c r="DJ26" s="1" t="s">
        <v>277</v>
      </c>
      <c r="DK26" s="1" t="s">
        <v>277</v>
      </c>
      <c r="DL26" s="1" t="s">
        <v>278</v>
      </c>
      <c r="DM26" s="1" t="s">
        <v>278</v>
      </c>
      <c r="DN26" s="48" t="s">
        <v>278</v>
      </c>
      <c r="DO26" s="48" t="s">
        <v>278</v>
      </c>
      <c r="DP26" s="1" t="s">
        <v>277</v>
      </c>
      <c r="DQ26" s="17" t="s">
        <v>278</v>
      </c>
      <c r="DR26" s="17" t="s">
        <v>278</v>
      </c>
      <c r="DS26" s="17" t="s">
        <v>278</v>
      </c>
      <c r="DT26" s="1" t="s">
        <v>277</v>
      </c>
      <c r="DU26" s="1" t="s">
        <v>277</v>
      </c>
      <c r="DV26" s="1" t="s">
        <v>277</v>
      </c>
      <c r="DW26" s="1" t="s">
        <v>277</v>
      </c>
      <c r="DX26" s="1" t="s">
        <v>277</v>
      </c>
      <c r="DY26" s="1" t="s">
        <v>277</v>
      </c>
      <c r="DZ26" s="1" t="s">
        <v>277</v>
      </c>
      <c r="EA26" s="1" t="s">
        <v>277</v>
      </c>
      <c r="EB26" s="1" t="s">
        <v>277</v>
      </c>
      <c r="EC26" s="1" t="s">
        <v>277</v>
      </c>
      <c r="ED26" s="1" t="s">
        <v>277</v>
      </c>
      <c r="EE26" s="1" t="s">
        <v>277</v>
      </c>
      <c r="EF26" s="1" t="s">
        <v>277</v>
      </c>
      <c r="EG26" s="1" t="s">
        <v>277</v>
      </c>
      <c r="EH26" s="1" t="s">
        <v>277</v>
      </c>
      <c r="EI26" s="1" t="s">
        <v>277</v>
      </c>
      <c r="EJ26" s="1" t="s">
        <v>277</v>
      </c>
      <c r="EK26" s="1" t="s">
        <v>277</v>
      </c>
      <c r="EL26" s="1" t="s">
        <v>277</v>
      </c>
      <c r="EM26" s="1" t="s">
        <v>277</v>
      </c>
      <c r="EN26" s="1" t="s">
        <v>277</v>
      </c>
      <c r="EO26" s="1" t="s">
        <v>277</v>
      </c>
      <c r="EP26" s="1" t="s">
        <v>277</v>
      </c>
      <c r="EQ26" s="1" t="s">
        <v>277</v>
      </c>
    </row>
    <row r="27" spans="1:147" s="1" customFormat="1" ht="15" customHeight="1">
      <c r="A27" s="30" t="s">
        <v>254</v>
      </c>
      <c r="B27" s="1">
        <v>24</v>
      </c>
      <c r="C27" s="1">
        <v>18</v>
      </c>
      <c r="D27" s="1">
        <v>2007</v>
      </c>
      <c r="E27" s="4" t="s">
        <v>691</v>
      </c>
      <c r="F27" s="4" t="s">
        <v>691</v>
      </c>
      <c r="G27" s="15">
        <v>1</v>
      </c>
      <c r="H27" s="15">
        <v>2</v>
      </c>
      <c r="I27" s="15">
        <v>1</v>
      </c>
      <c r="J27" s="4" t="s">
        <v>692</v>
      </c>
      <c r="K27" s="4" t="s">
        <v>369</v>
      </c>
      <c r="L27" s="1" t="s">
        <v>258</v>
      </c>
      <c r="M27" s="4" t="s">
        <v>693</v>
      </c>
      <c r="N27" s="1">
        <v>45</v>
      </c>
      <c r="O27" s="1" t="s">
        <v>694</v>
      </c>
      <c r="P27" s="1" t="s">
        <v>431</v>
      </c>
      <c r="Q27" s="1" t="s">
        <v>695</v>
      </c>
      <c r="R27" s="1" t="s">
        <v>1737</v>
      </c>
      <c r="S27" s="1" t="s">
        <v>263</v>
      </c>
      <c r="T27" s="1" t="s">
        <v>264</v>
      </c>
      <c r="U27" s="1" t="s">
        <v>265</v>
      </c>
      <c r="V27" s="1" t="s">
        <v>696</v>
      </c>
      <c r="W27" t="s">
        <v>697</v>
      </c>
      <c r="X27" s="10">
        <v>2.16</v>
      </c>
      <c r="Y27" s="10">
        <v>4.46</v>
      </c>
      <c r="Z27" s="10">
        <v>4.05</v>
      </c>
      <c r="AA27" s="10">
        <v>614</v>
      </c>
      <c r="AB27" s="1">
        <v>2005</v>
      </c>
      <c r="AC27" s="1">
        <v>2005</v>
      </c>
      <c r="AD27" s="1">
        <v>2005</v>
      </c>
      <c r="AE27" s="1">
        <v>31.8</v>
      </c>
      <c r="AF27" s="1" t="s">
        <v>269</v>
      </c>
      <c r="AG27" s="1" t="s">
        <v>270</v>
      </c>
      <c r="AH27" s="1" t="s">
        <v>698</v>
      </c>
      <c r="AI27" s="1" t="s">
        <v>605</v>
      </c>
      <c r="AJ27" s="12" t="s">
        <v>277</v>
      </c>
      <c r="AK27" s="1" t="s">
        <v>606</v>
      </c>
      <c r="AL27" s="1" t="s">
        <v>490</v>
      </c>
      <c r="AM27" t="s">
        <v>375</v>
      </c>
      <c r="AN27" s="10" t="s">
        <v>699</v>
      </c>
      <c r="AO27" s="17">
        <v>1</v>
      </c>
      <c r="AP27" s="17">
        <v>1</v>
      </c>
      <c r="AQ27" s="17">
        <v>2</v>
      </c>
      <c r="AR27" s="17">
        <v>1</v>
      </c>
      <c r="AS27" s="17">
        <v>4</v>
      </c>
      <c r="AT27" s="17">
        <v>1904</v>
      </c>
      <c r="AU27" s="17">
        <v>1904</v>
      </c>
      <c r="AV27" s="17">
        <v>1904</v>
      </c>
      <c r="AW27" t="s">
        <v>700</v>
      </c>
      <c r="AX27" t="s">
        <v>701</v>
      </c>
      <c r="AY27" s="1" t="s">
        <v>330</v>
      </c>
      <c r="AZ27" s="1" t="s">
        <v>702</v>
      </c>
      <c r="BA27" t="s">
        <v>703</v>
      </c>
      <c r="BB27" s="14" t="s">
        <v>704</v>
      </c>
      <c r="BC27" s="2" t="s">
        <v>289</v>
      </c>
      <c r="BD27" s="1" t="s">
        <v>705</v>
      </c>
      <c r="BE27" s="3" t="s">
        <v>284</v>
      </c>
      <c r="BF27" s="2" t="s">
        <v>277</v>
      </c>
      <c r="BG27" s="3" t="s">
        <v>284</v>
      </c>
      <c r="BH27" s="2" t="s">
        <v>277</v>
      </c>
      <c r="BI27" s="2" t="s">
        <v>284</v>
      </c>
      <c r="BJ27" s="1" t="s">
        <v>277</v>
      </c>
      <c r="BK27" s="2" t="s">
        <v>284</v>
      </c>
      <c r="BL27" s="2" t="s">
        <v>277</v>
      </c>
      <c r="BM27" t="s">
        <v>284</v>
      </c>
      <c r="BN27" s="2" t="s">
        <v>277</v>
      </c>
      <c r="BO27" s="2" t="s">
        <v>284</v>
      </c>
      <c r="BP27" s="2" t="s">
        <v>277</v>
      </c>
      <c r="BQ27" s="2" t="s">
        <v>470</v>
      </c>
      <c r="BR27" s="14" t="s">
        <v>706</v>
      </c>
      <c r="BS27" s="2" t="s">
        <v>362</v>
      </c>
      <c r="BT27" s="2" t="s">
        <v>277</v>
      </c>
      <c r="BU27" s="2" t="s">
        <v>707</v>
      </c>
      <c r="BV27" s="1" t="s">
        <v>708</v>
      </c>
      <c r="BW27" s="1" t="s">
        <v>709</v>
      </c>
      <c r="BX27" s="14" t="s">
        <v>710</v>
      </c>
      <c r="BY27" s="2" t="s">
        <v>284</v>
      </c>
      <c r="BZ27" s="2" t="s">
        <v>277</v>
      </c>
      <c r="CA27" s="1" t="s">
        <v>711</v>
      </c>
      <c r="CB27" s="1" t="s">
        <v>712</v>
      </c>
      <c r="CC27" s="8" t="s">
        <v>713</v>
      </c>
      <c r="CD27" s="48">
        <f>8411+10067</f>
        <v>18478</v>
      </c>
      <c r="CE27" s="48">
        <f>8971+9663</f>
        <v>18634</v>
      </c>
      <c r="CF27" s="48">
        <f>CE27/(CE27+CD27)</f>
        <v>0.5021017460659625</v>
      </c>
      <c r="CG27" s="48">
        <f>IF(Data!$CB27="NA",".",Data!$CF27-(1-Data!$CF27))</f>
        <v>0.004203492131924946</v>
      </c>
      <c r="CH27" s="1" t="s">
        <v>277</v>
      </c>
      <c r="CI27" s="17">
        <v>0</v>
      </c>
      <c r="CJ27" s="17">
        <v>1</v>
      </c>
      <c r="CK27" s="17">
        <v>0</v>
      </c>
      <c r="CL27" s="10" t="s">
        <v>303</v>
      </c>
      <c r="CM27" s="10" t="s">
        <v>298</v>
      </c>
      <c r="CN27" s="10" t="s">
        <v>299</v>
      </c>
      <c r="CO27" s="10" t="s">
        <v>299</v>
      </c>
      <c r="CP27" s="10" t="s">
        <v>299</v>
      </c>
      <c r="CQ27" s="10" t="s">
        <v>299</v>
      </c>
      <c r="CR27" s="10" t="s">
        <v>299</v>
      </c>
      <c r="CS27" s="10" t="s">
        <v>298</v>
      </c>
      <c r="CT27" s="10" t="s">
        <v>298</v>
      </c>
      <c r="CU27" s="10" t="s">
        <v>298</v>
      </c>
      <c r="CV27" s="10" t="s">
        <v>298</v>
      </c>
      <c r="CW27" s="10" t="s">
        <v>298</v>
      </c>
      <c r="CX27" s="10" t="s">
        <v>298</v>
      </c>
      <c r="CY27" s="10" t="s">
        <v>298</v>
      </c>
      <c r="CZ27" s="10" t="s">
        <v>298</v>
      </c>
      <c r="DA27" s="10" t="s">
        <v>298</v>
      </c>
      <c r="DB27" s="10" t="s">
        <v>298</v>
      </c>
      <c r="DC27" s="10" t="s">
        <v>298</v>
      </c>
      <c r="DD27" s="10" t="s">
        <v>298</v>
      </c>
      <c r="DE27" s="10" t="s">
        <v>298</v>
      </c>
      <c r="DF27" s="10" t="s">
        <v>298</v>
      </c>
      <c r="DG27" s="10" t="s">
        <v>298</v>
      </c>
      <c r="DH27" s="10" t="s">
        <v>298</v>
      </c>
      <c r="DI27" s="10" t="s">
        <v>298</v>
      </c>
      <c r="DJ27" s="1" t="s">
        <v>277</v>
      </c>
      <c r="DK27" s="1" t="s">
        <v>277</v>
      </c>
      <c r="DL27" s="1" t="s">
        <v>278</v>
      </c>
      <c r="DM27" s="1" t="s">
        <v>278</v>
      </c>
      <c r="DN27" s="48" t="s">
        <v>278</v>
      </c>
      <c r="DO27" s="48" t="s">
        <v>278</v>
      </c>
      <c r="DP27" s="1" t="s">
        <v>277</v>
      </c>
      <c r="DQ27" s="17" t="s">
        <v>278</v>
      </c>
      <c r="DR27" s="17" t="s">
        <v>278</v>
      </c>
      <c r="DS27" s="17" t="s">
        <v>278</v>
      </c>
      <c r="DT27" s="1" t="s">
        <v>277</v>
      </c>
      <c r="DU27" s="1" t="s">
        <v>277</v>
      </c>
      <c r="DV27" s="1" t="s">
        <v>277</v>
      </c>
      <c r="DW27" s="1" t="s">
        <v>277</v>
      </c>
      <c r="DX27" s="1" t="s">
        <v>277</v>
      </c>
      <c r="DY27" s="1" t="s">
        <v>277</v>
      </c>
      <c r="DZ27" s="1" t="s">
        <v>277</v>
      </c>
      <c r="EA27" s="1" t="s">
        <v>277</v>
      </c>
      <c r="EB27" s="1" t="s">
        <v>277</v>
      </c>
      <c r="EC27" s="1" t="s">
        <v>277</v>
      </c>
      <c r="ED27" s="1" t="s">
        <v>277</v>
      </c>
      <c r="EE27" s="1" t="s">
        <v>277</v>
      </c>
      <c r="EF27" s="1" t="s">
        <v>277</v>
      </c>
      <c r="EG27" s="1" t="s">
        <v>277</v>
      </c>
      <c r="EH27" s="1" t="s">
        <v>277</v>
      </c>
      <c r="EI27" s="1" t="s">
        <v>277</v>
      </c>
      <c r="EJ27" s="1" t="s">
        <v>277</v>
      </c>
      <c r="EK27" s="1" t="s">
        <v>277</v>
      </c>
      <c r="EL27" s="1" t="s">
        <v>277</v>
      </c>
      <c r="EM27" s="1" t="s">
        <v>277</v>
      </c>
      <c r="EN27" s="1" t="s">
        <v>277</v>
      </c>
      <c r="EO27" s="1" t="s">
        <v>277</v>
      </c>
      <c r="EP27" s="1" t="s">
        <v>277</v>
      </c>
      <c r="EQ27" s="1" t="s">
        <v>277</v>
      </c>
    </row>
    <row r="28" spans="1:147" s="1" customFormat="1" ht="15" customHeight="1">
      <c r="A28" s="30" t="s">
        <v>254</v>
      </c>
      <c r="B28" s="1">
        <v>25</v>
      </c>
      <c r="C28" s="1">
        <v>18</v>
      </c>
      <c r="D28" s="1">
        <v>2007</v>
      </c>
      <c r="E28" s="4" t="s">
        <v>691</v>
      </c>
      <c r="F28" s="4" t="s">
        <v>691</v>
      </c>
      <c r="G28" s="15">
        <v>1</v>
      </c>
      <c r="H28" s="15">
        <v>2</v>
      </c>
      <c r="I28" s="15">
        <v>1</v>
      </c>
      <c r="J28" s="4" t="s">
        <v>692</v>
      </c>
      <c r="K28" s="4" t="s">
        <v>369</v>
      </c>
      <c r="L28" s="1" t="s">
        <v>258</v>
      </c>
      <c r="M28" s="4" t="s">
        <v>693</v>
      </c>
      <c r="N28" s="1">
        <v>45</v>
      </c>
      <c r="O28" s="1" t="s">
        <v>694</v>
      </c>
      <c r="P28" s="1" t="s">
        <v>431</v>
      </c>
      <c r="Q28" s="1" t="s">
        <v>695</v>
      </c>
      <c r="R28" s="1" t="s">
        <v>1737</v>
      </c>
      <c r="S28" s="1" t="s">
        <v>263</v>
      </c>
      <c r="T28" s="1" t="s">
        <v>264</v>
      </c>
      <c r="U28" s="1" t="s">
        <v>265</v>
      </c>
      <c r="V28" s="1" t="s">
        <v>696</v>
      </c>
      <c r="W28" t="s">
        <v>697</v>
      </c>
      <c r="X28" s="10">
        <v>2.16</v>
      </c>
      <c r="Y28" s="10">
        <v>4.46</v>
      </c>
      <c r="Z28" s="10">
        <v>4.05</v>
      </c>
      <c r="AA28" s="10">
        <v>614</v>
      </c>
      <c r="AB28" s="1">
        <v>2005</v>
      </c>
      <c r="AC28" s="1">
        <v>2005</v>
      </c>
      <c r="AD28" s="1">
        <v>2005</v>
      </c>
      <c r="AE28" s="1">
        <v>31.8</v>
      </c>
      <c r="AF28" s="1" t="s">
        <v>269</v>
      </c>
      <c r="AG28" s="1" t="s">
        <v>270</v>
      </c>
      <c r="AH28" s="1" t="s">
        <v>698</v>
      </c>
      <c r="AI28" s="1" t="s">
        <v>272</v>
      </c>
      <c r="AJ28" s="12" t="s">
        <v>714</v>
      </c>
      <c r="AK28" s="1" t="s">
        <v>715</v>
      </c>
      <c r="AL28" s="1" t="s">
        <v>490</v>
      </c>
      <c r="AM28" s="1" t="s">
        <v>375</v>
      </c>
      <c r="AN28" s="10" t="s">
        <v>699</v>
      </c>
      <c r="AO28" s="17">
        <v>1</v>
      </c>
      <c r="AP28" s="17">
        <v>1</v>
      </c>
      <c r="AQ28" s="17">
        <v>2</v>
      </c>
      <c r="AR28" s="17">
        <v>1</v>
      </c>
      <c r="AS28" s="17">
        <v>1</v>
      </c>
      <c r="AT28" s="17">
        <v>1254</v>
      </c>
      <c r="AU28" s="17">
        <v>1254</v>
      </c>
      <c r="AV28" s="17">
        <v>1254</v>
      </c>
      <c r="AW28" t="s">
        <v>547</v>
      </c>
      <c r="AX28" t="s">
        <v>716</v>
      </c>
      <c r="AY28" s="1" t="s">
        <v>330</v>
      </c>
      <c r="AZ28" s="1" t="s">
        <v>702</v>
      </c>
      <c r="BA28" t="s">
        <v>444</v>
      </c>
      <c r="BB28" s="1" t="s">
        <v>717</v>
      </c>
      <c r="BC28" s="2" t="s">
        <v>289</v>
      </c>
      <c r="BD28" s="1" t="s">
        <v>705</v>
      </c>
      <c r="BE28" s="3" t="s">
        <v>284</v>
      </c>
      <c r="BF28" s="2" t="s">
        <v>277</v>
      </c>
      <c r="BG28" s="3" t="s">
        <v>284</v>
      </c>
      <c r="BH28" s="2" t="s">
        <v>277</v>
      </c>
      <c r="BI28" s="2" t="s">
        <v>284</v>
      </c>
      <c r="BJ28" s="1" t="s">
        <v>277</v>
      </c>
      <c r="BK28" s="2" t="s">
        <v>284</v>
      </c>
      <c r="BL28" s="2" t="s">
        <v>277</v>
      </c>
      <c r="BM28" t="s">
        <v>284</v>
      </c>
      <c r="BN28" s="2" t="s">
        <v>277</v>
      </c>
      <c r="BO28" s="2" t="s">
        <v>284</v>
      </c>
      <c r="BP28" s="2" t="s">
        <v>277</v>
      </c>
      <c r="BQ28" s="2" t="s">
        <v>718</v>
      </c>
      <c r="BR28" s="14" t="s">
        <v>719</v>
      </c>
      <c r="BS28" s="2" t="s">
        <v>362</v>
      </c>
      <c r="BT28" s="2" t="s">
        <v>277</v>
      </c>
      <c r="BU28" s="2" t="s">
        <v>284</v>
      </c>
      <c r="BV28" s="1" t="s">
        <v>720</v>
      </c>
      <c r="BW28" s="1" t="s">
        <v>709</v>
      </c>
      <c r="BX28" s="14" t="s">
        <v>721</v>
      </c>
      <c r="BY28" s="2" t="s">
        <v>284</v>
      </c>
      <c r="BZ28" s="2" t="s">
        <v>277</v>
      </c>
      <c r="CA28" s="1" t="s">
        <v>711</v>
      </c>
      <c r="CB28" s="1" t="s">
        <v>722</v>
      </c>
      <c r="CC28" s="8" t="s">
        <v>723</v>
      </c>
      <c r="CD28" s="48">
        <v>35053</v>
      </c>
      <c r="CE28" s="48">
        <v>35902</v>
      </c>
      <c r="CF28" s="48">
        <f>CE28/(CE28+CD28)</f>
        <v>0.5059826650694101</v>
      </c>
      <c r="CG28" s="48">
        <f>IF(Data!$CB28="NA",".",Data!$CF28-(1-Data!$CF28))</f>
        <v>0.011965330138820285</v>
      </c>
      <c r="CH28" s="1" t="s">
        <v>277</v>
      </c>
      <c r="CI28" s="17">
        <v>0</v>
      </c>
      <c r="CJ28" s="17">
        <v>0</v>
      </c>
      <c r="CK28" s="17">
        <v>0</v>
      </c>
      <c r="CL28" s="10" t="s">
        <v>303</v>
      </c>
      <c r="CM28" s="10" t="s">
        <v>298</v>
      </c>
      <c r="CN28" s="10" t="s">
        <v>299</v>
      </c>
      <c r="CO28" s="10" t="s">
        <v>299</v>
      </c>
      <c r="CP28" s="10" t="s">
        <v>299</v>
      </c>
      <c r="CQ28" s="10" t="s">
        <v>299</v>
      </c>
      <c r="CR28" s="10" t="s">
        <v>299</v>
      </c>
      <c r="CS28" s="10" t="s">
        <v>298</v>
      </c>
      <c r="CT28" s="10" t="s">
        <v>298</v>
      </c>
      <c r="CU28" s="10" t="s">
        <v>298</v>
      </c>
      <c r="CV28" s="10" t="s">
        <v>298</v>
      </c>
      <c r="CW28" s="10" t="s">
        <v>298</v>
      </c>
      <c r="CX28" s="10" t="s">
        <v>298</v>
      </c>
      <c r="CY28" s="10" t="s">
        <v>298</v>
      </c>
      <c r="CZ28" s="10" t="s">
        <v>298</v>
      </c>
      <c r="DA28" s="10" t="s">
        <v>298</v>
      </c>
      <c r="DB28" s="10" t="s">
        <v>298</v>
      </c>
      <c r="DC28" s="10" t="s">
        <v>298</v>
      </c>
      <c r="DD28" s="10" t="s">
        <v>298</v>
      </c>
      <c r="DE28" s="10" t="s">
        <v>298</v>
      </c>
      <c r="DF28" s="10" t="s">
        <v>298</v>
      </c>
      <c r="DG28" s="10" t="s">
        <v>299</v>
      </c>
      <c r="DH28" s="10" t="s">
        <v>298</v>
      </c>
      <c r="DI28" s="10" t="s">
        <v>298</v>
      </c>
      <c r="DJ28" s="1" t="s">
        <v>277</v>
      </c>
      <c r="DK28" s="1" t="s">
        <v>277</v>
      </c>
      <c r="DL28" s="1" t="s">
        <v>278</v>
      </c>
      <c r="DM28" s="1" t="s">
        <v>278</v>
      </c>
      <c r="DN28" s="48" t="s">
        <v>278</v>
      </c>
      <c r="DO28" s="48" t="s">
        <v>278</v>
      </c>
      <c r="DP28" s="1" t="s">
        <v>277</v>
      </c>
      <c r="DQ28" s="17" t="s">
        <v>278</v>
      </c>
      <c r="DR28" s="17" t="s">
        <v>278</v>
      </c>
      <c r="DS28" s="17" t="s">
        <v>278</v>
      </c>
      <c r="DT28" s="1" t="s">
        <v>277</v>
      </c>
      <c r="DU28" s="1" t="s">
        <v>277</v>
      </c>
      <c r="DV28" s="1" t="s">
        <v>277</v>
      </c>
      <c r="DW28" s="1" t="s">
        <v>277</v>
      </c>
      <c r="DX28" s="1" t="s">
        <v>277</v>
      </c>
      <c r="DY28" s="1" t="s">
        <v>277</v>
      </c>
      <c r="DZ28" s="1" t="s">
        <v>277</v>
      </c>
      <c r="EA28" s="1" t="s">
        <v>277</v>
      </c>
      <c r="EB28" s="1" t="s">
        <v>277</v>
      </c>
      <c r="EC28" s="1" t="s">
        <v>277</v>
      </c>
      <c r="ED28" s="1" t="s">
        <v>277</v>
      </c>
      <c r="EE28" s="1" t="s">
        <v>277</v>
      </c>
      <c r="EF28" s="1" t="s">
        <v>277</v>
      </c>
      <c r="EG28" s="1" t="s">
        <v>277</v>
      </c>
      <c r="EH28" s="1" t="s">
        <v>277</v>
      </c>
      <c r="EI28" s="1" t="s">
        <v>277</v>
      </c>
      <c r="EJ28" s="1" t="s">
        <v>277</v>
      </c>
      <c r="EK28" s="1" t="s">
        <v>277</v>
      </c>
      <c r="EL28" s="1" t="s">
        <v>277</v>
      </c>
      <c r="EM28" s="1" t="s">
        <v>277</v>
      </c>
      <c r="EN28" s="1" t="s">
        <v>277</v>
      </c>
      <c r="EO28" s="1" t="s">
        <v>277</v>
      </c>
      <c r="EP28" s="1" t="s">
        <v>277</v>
      </c>
      <c r="EQ28" s="1" t="s">
        <v>277</v>
      </c>
    </row>
    <row r="29" spans="1:147" s="1" customFormat="1" ht="15" customHeight="1">
      <c r="A29" s="30" t="s">
        <v>254</v>
      </c>
      <c r="B29" s="1">
        <v>26</v>
      </c>
      <c r="C29" s="1">
        <v>18</v>
      </c>
      <c r="D29" s="1">
        <v>2007</v>
      </c>
      <c r="E29" s="4" t="s">
        <v>691</v>
      </c>
      <c r="F29" s="4" t="s">
        <v>691</v>
      </c>
      <c r="G29" s="15">
        <v>1</v>
      </c>
      <c r="H29" s="15">
        <v>2</v>
      </c>
      <c r="I29" s="15">
        <v>1</v>
      </c>
      <c r="J29" s="4" t="s">
        <v>692</v>
      </c>
      <c r="K29" s="4" t="s">
        <v>369</v>
      </c>
      <c r="L29" s="1" t="s">
        <v>258</v>
      </c>
      <c r="M29" s="4" t="s">
        <v>693</v>
      </c>
      <c r="N29" s="1">
        <v>45</v>
      </c>
      <c r="O29" s="1" t="s">
        <v>694</v>
      </c>
      <c r="P29" s="1" t="s">
        <v>431</v>
      </c>
      <c r="Q29" s="1" t="s">
        <v>724</v>
      </c>
      <c r="R29" s="1" t="s">
        <v>1738</v>
      </c>
      <c r="S29" s="1" t="s">
        <v>263</v>
      </c>
      <c r="T29" s="1" t="s">
        <v>264</v>
      </c>
      <c r="U29" s="1" t="s">
        <v>265</v>
      </c>
      <c r="V29" s="1" t="s">
        <v>696</v>
      </c>
      <c r="W29" t="s">
        <v>697</v>
      </c>
      <c r="X29" s="10">
        <v>2.16</v>
      </c>
      <c r="Y29" s="10">
        <v>4.46</v>
      </c>
      <c r="Z29" s="10">
        <v>4.05</v>
      </c>
      <c r="AA29" s="10">
        <v>614</v>
      </c>
      <c r="AB29" s="1">
        <v>2005</v>
      </c>
      <c r="AC29" s="1">
        <v>2005</v>
      </c>
      <c r="AD29" s="1">
        <v>2005</v>
      </c>
      <c r="AE29" s="1">
        <v>31.8</v>
      </c>
      <c r="AF29" s="1" t="s">
        <v>269</v>
      </c>
      <c r="AG29" s="1" t="s">
        <v>270</v>
      </c>
      <c r="AH29" s="1" t="s">
        <v>698</v>
      </c>
      <c r="AI29" s="1" t="s">
        <v>605</v>
      </c>
      <c r="AJ29" s="12" t="s">
        <v>277</v>
      </c>
      <c r="AK29" s="1" t="s">
        <v>606</v>
      </c>
      <c r="AL29" s="1" t="s">
        <v>490</v>
      </c>
      <c r="AM29" t="s">
        <v>375</v>
      </c>
      <c r="AN29" s="10" t="s">
        <v>277</v>
      </c>
      <c r="AO29" s="17">
        <v>1</v>
      </c>
      <c r="AP29" s="18" t="s">
        <v>278</v>
      </c>
      <c r="AQ29" s="79" t="s">
        <v>1724</v>
      </c>
      <c r="AR29" s="18" t="s">
        <v>278</v>
      </c>
      <c r="AS29" s="17">
        <v>4</v>
      </c>
      <c r="AT29" s="17">
        <v>1904</v>
      </c>
      <c r="AU29" s="17">
        <v>1904</v>
      </c>
      <c r="AV29" s="17">
        <v>1904</v>
      </c>
      <c r="AW29" t="s">
        <v>700</v>
      </c>
      <c r="AX29" t="s">
        <v>701</v>
      </c>
      <c r="AY29" s="1" t="s">
        <v>282</v>
      </c>
      <c r="AZ29" s="1" t="s">
        <v>725</v>
      </c>
      <c r="BA29" t="s">
        <v>289</v>
      </c>
      <c r="BB29" s="2" t="s">
        <v>726</v>
      </c>
      <c r="BC29" s="2" t="s">
        <v>284</v>
      </c>
      <c r="BD29" s="2" t="s">
        <v>277</v>
      </c>
      <c r="BE29" s="3" t="s">
        <v>284</v>
      </c>
      <c r="BF29" s="2" t="s">
        <v>277</v>
      </c>
      <c r="BG29" s="3" t="s">
        <v>284</v>
      </c>
      <c r="BH29" s="2" t="s">
        <v>277</v>
      </c>
      <c r="BI29" s="2" t="s">
        <v>284</v>
      </c>
      <c r="BJ29" s="1" t="s">
        <v>277</v>
      </c>
      <c r="BK29" s="2" t="s">
        <v>284</v>
      </c>
      <c r="BL29" s="2" t="s">
        <v>277</v>
      </c>
      <c r="BM29" t="s">
        <v>284</v>
      </c>
      <c r="BN29" s="2" t="s">
        <v>277</v>
      </c>
      <c r="BO29" s="2" t="s">
        <v>284</v>
      </c>
      <c r="BP29" s="2" t="s">
        <v>277</v>
      </c>
      <c r="BQ29" s="2" t="s">
        <v>362</v>
      </c>
      <c r="BR29" s="1" t="s">
        <v>277</v>
      </c>
      <c r="BS29" s="2" t="s">
        <v>362</v>
      </c>
      <c r="BT29" s="2" t="s">
        <v>277</v>
      </c>
      <c r="BU29" s="2" t="s">
        <v>284</v>
      </c>
      <c r="BV29" s="2" t="s">
        <v>277</v>
      </c>
      <c r="BW29" s="1" t="s">
        <v>284</v>
      </c>
      <c r="BX29" s="1" t="s">
        <v>277</v>
      </c>
      <c r="BY29" s="2" t="s">
        <v>284</v>
      </c>
      <c r="BZ29" s="2" t="s">
        <v>277</v>
      </c>
      <c r="CA29" s="1" t="s">
        <v>711</v>
      </c>
      <c r="CB29" s="7" t="s">
        <v>727</v>
      </c>
      <c r="CC29" s="8" t="s">
        <v>728</v>
      </c>
      <c r="CD29" s="48">
        <f>136.33+136.61</f>
        <v>272.94000000000005</v>
      </c>
      <c r="CE29" s="48">
        <f>129.1+128.09</f>
        <v>257.19</v>
      </c>
      <c r="CF29" s="48">
        <f>CE29/(CE29+CD29)</f>
        <v>0.4851451530756606</v>
      </c>
      <c r="CG29" s="48">
        <f>IF(Data!$CB29="NA",".",Data!$CF29-(1-Data!$CF29))</f>
        <v>-0.029709693848678886</v>
      </c>
      <c r="CH29" s="1" t="s">
        <v>277</v>
      </c>
      <c r="CI29" s="17">
        <v>0</v>
      </c>
      <c r="CJ29" s="17">
        <v>1</v>
      </c>
      <c r="CK29" s="17">
        <v>0</v>
      </c>
      <c r="CL29" s="10" t="s">
        <v>303</v>
      </c>
      <c r="CM29" s="10" t="s">
        <v>298</v>
      </c>
      <c r="CN29" s="10" t="s">
        <v>298</v>
      </c>
      <c r="CO29" s="10" t="s">
        <v>299</v>
      </c>
      <c r="CP29" s="10" t="s">
        <v>299</v>
      </c>
      <c r="CQ29" s="10" t="s">
        <v>298</v>
      </c>
      <c r="CR29" s="10" t="s">
        <v>299</v>
      </c>
      <c r="CS29" s="10" t="s">
        <v>298</v>
      </c>
      <c r="CT29" s="10" t="s">
        <v>298</v>
      </c>
      <c r="CU29" s="10" t="s">
        <v>298</v>
      </c>
      <c r="CV29" s="10" t="s">
        <v>298</v>
      </c>
      <c r="CW29" s="10" t="s">
        <v>298</v>
      </c>
      <c r="CX29" s="10" t="s">
        <v>298</v>
      </c>
      <c r="CY29" s="10" t="s">
        <v>298</v>
      </c>
      <c r="CZ29" s="10" t="s">
        <v>298</v>
      </c>
      <c r="DA29" s="10" t="s">
        <v>298</v>
      </c>
      <c r="DB29" s="10" t="s">
        <v>298</v>
      </c>
      <c r="DC29" s="10" t="s">
        <v>298</v>
      </c>
      <c r="DD29" s="10" t="s">
        <v>298</v>
      </c>
      <c r="DE29" s="10" t="s">
        <v>298</v>
      </c>
      <c r="DF29" s="10" t="s">
        <v>298</v>
      </c>
      <c r="DG29" s="10" t="s">
        <v>298</v>
      </c>
      <c r="DH29" s="10" t="s">
        <v>298</v>
      </c>
      <c r="DI29" s="10" t="s">
        <v>298</v>
      </c>
      <c r="DJ29" s="1" t="s">
        <v>277</v>
      </c>
      <c r="DK29" s="1" t="s">
        <v>277</v>
      </c>
      <c r="DL29" s="1" t="s">
        <v>278</v>
      </c>
      <c r="DM29" s="1" t="s">
        <v>278</v>
      </c>
      <c r="DN29" s="48" t="s">
        <v>278</v>
      </c>
      <c r="DO29" s="48" t="s">
        <v>278</v>
      </c>
      <c r="DP29" s="1" t="s">
        <v>277</v>
      </c>
      <c r="DQ29" s="17" t="s">
        <v>278</v>
      </c>
      <c r="DR29" s="17" t="s">
        <v>278</v>
      </c>
      <c r="DS29" s="17" t="s">
        <v>278</v>
      </c>
      <c r="DT29" s="1" t="s">
        <v>277</v>
      </c>
      <c r="DU29" s="1" t="s">
        <v>277</v>
      </c>
      <c r="DV29" s="1" t="s">
        <v>277</v>
      </c>
      <c r="DW29" s="1" t="s">
        <v>277</v>
      </c>
      <c r="DX29" s="1" t="s">
        <v>277</v>
      </c>
      <c r="DY29" s="1" t="s">
        <v>277</v>
      </c>
      <c r="DZ29" s="1" t="s">
        <v>277</v>
      </c>
      <c r="EA29" s="1" t="s">
        <v>277</v>
      </c>
      <c r="EB29" s="1" t="s">
        <v>277</v>
      </c>
      <c r="EC29" s="1" t="s">
        <v>277</v>
      </c>
      <c r="ED29" s="1" t="s">
        <v>277</v>
      </c>
      <c r="EE29" s="1" t="s">
        <v>277</v>
      </c>
      <c r="EF29" s="1" t="s">
        <v>277</v>
      </c>
      <c r="EG29" s="1" t="s">
        <v>277</v>
      </c>
      <c r="EH29" s="1" t="s">
        <v>277</v>
      </c>
      <c r="EI29" s="1" t="s">
        <v>277</v>
      </c>
      <c r="EJ29" s="1" t="s">
        <v>277</v>
      </c>
      <c r="EK29" s="1" t="s">
        <v>277</v>
      </c>
      <c r="EL29" s="1" t="s">
        <v>277</v>
      </c>
      <c r="EM29" s="1" t="s">
        <v>277</v>
      </c>
      <c r="EN29" s="1" t="s">
        <v>277</v>
      </c>
      <c r="EO29" s="1" t="s">
        <v>277</v>
      </c>
      <c r="EP29" s="1" t="s">
        <v>277</v>
      </c>
      <c r="EQ29" s="1" t="s">
        <v>277</v>
      </c>
    </row>
    <row r="30" spans="1:147" s="1" customFormat="1" ht="15" customHeight="1">
      <c r="A30" s="30" t="s">
        <v>254</v>
      </c>
      <c r="B30" s="1">
        <v>27</v>
      </c>
      <c r="C30" s="1">
        <v>18</v>
      </c>
      <c r="D30" s="1">
        <v>2007</v>
      </c>
      <c r="E30" s="4" t="s">
        <v>691</v>
      </c>
      <c r="F30" s="4" t="s">
        <v>691</v>
      </c>
      <c r="G30" s="15">
        <v>1</v>
      </c>
      <c r="H30" s="15">
        <v>2</v>
      </c>
      <c r="I30" s="15">
        <v>1</v>
      </c>
      <c r="J30" s="4" t="s">
        <v>692</v>
      </c>
      <c r="K30" s="4" t="s">
        <v>369</v>
      </c>
      <c r="L30" s="1" t="s">
        <v>258</v>
      </c>
      <c r="M30" s="4" t="s">
        <v>693</v>
      </c>
      <c r="N30" s="1">
        <v>45</v>
      </c>
      <c r="O30" s="1" t="s">
        <v>694</v>
      </c>
      <c r="P30" s="1" t="s">
        <v>431</v>
      </c>
      <c r="Q30" s="1" t="s">
        <v>724</v>
      </c>
      <c r="R30" s="1" t="s">
        <v>1738</v>
      </c>
      <c r="S30" s="1" t="s">
        <v>263</v>
      </c>
      <c r="T30" s="1" t="s">
        <v>264</v>
      </c>
      <c r="U30" s="1" t="s">
        <v>265</v>
      </c>
      <c r="V30" s="1" t="s">
        <v>696</v>
      </c>
      <c r="W30" t="s">
        <v>697</v>
      </c>
      <c r="X30" s="10">
        <v>2.16</v>
      </c>
      <c r="Y30" s="10">
        <v>4.46</v>
      </c>
      <c r="Z30" s="10">
        <v>4.05</v>
      </c>
      <c r="AA30" s="10">
        <v>614</v>
      </c>
      <c r="AB30" s="1">
        <v>2005</v>
      </c>
      <c r="AC30" s="1">
        <v>2005</v>
      </c>
      <c r="AD30" s="1">
        <v>2005</v>
      </c>
      <c r="AE30" s="1">
        <v>31.8</v>
      </c>
      <c r="AF30" s="1" t="s">
        <v>269</v>
      </c>
      <c r="AG30" s="1" t="s">
        <v>270</v>
      </c>
      <c r="AH30" s="1" t="s">
        <v>698</v>
      </c>
      <c r="AI30" s="1" t="s">
        <v>272</v>
      </c>
      <c r="AJ30" s="12" t="s">
        <v>714</v>
      </c>
      <c r="AK30" s="1" t="s">
        <v>715</v>
      </c>
      <c r="AL30" s="1" t="s">
        <v>490</v>
      </c>
      <c r="AM30" s="1" t="s">
        <v>375</v>
      </c>
      <c r="AN30" s="10" t="s">
        <v>277</v>
      </c>
      <c r="AO30" s="17">
        <v>1</v>
      </c>
      <c r="AP30" s="18" t="s">
        <v>278</v>
      </c>
      <c r="AQ30" s="79" t="s">
        <v>1724</v>
      </c>
      <c r="AR30" s="18" t="s">
        <v>278</v>
      </c>
      <c r="AS30" s="17">
        <v>1</v>
      </c>
      <c r="AT30" s="17">
        <v>1254</v>
      </c>
      <c r="AU30" s="17">
        <v>1254</v>
      </c>
      <c r="AV30" s="17">
        <v>1254</v>
      </c>
      <c r="AW30" t="s">
        <v>547</v>
      </c>
      <c r="AX30" t="s">
        <v>716</v>
      </c>
      <c r="AY30" s="1" t="s">
        <v>282</v>
      </c>
      <c r="AZ30" s="1" t="s">
        <v>725</v>
      </c>
      <c r="BA30" t="s">
        <v>289</v>
      </c>
      <c r="BB30" s="2" t="s">
        <v>726</v>
      </c>
      <c r="BC30" s="2" t="s">
        <v>284</v>
      </c>
      <c r="BD30" s="2" t="s">
        <v>277</v>
      </c>
      <c r="BE30" s="3" t="s">
        <v>284</v>
      </c>
      <c r="BF30" s="2" t="s">
        <v>277</v>
      </c>
      <c r="BG30" s="3" t="s">
        <v>284</v>
      </c>
      <c r="BH30" s="2" t="s">
        <v>277</v>
      </c>
      <c r="BI30" s="2" t="s">
        <v>284</v>
      </c>
      <c r="BJ30" s="1" t="s">
        <v>277</v>
      </c>
      <c r="BK30" s="2" t="s">
        <v>284</v>
      </c>
      <c r="BL30" s="2" t="s">
        <v>277</v>
      </c>
      <c r="BM30" t="s">
        <v>284</v>
      </c>
      <c r="BN30" s="2" t="s">
        <v>277</v>
      </c>
      <c r="BO30" s="2" t="s">
        <v>284</v>
      </c>
      <c r="BP30" s="2" t="s">
        <v>277</v>
      </c>
      <c r="BQ30" s="2" t="s">
        <v>362</v>
      </c>
      <c r="BR30" s="1" t="s">
        <v>277</v>
      </c>
      <c r="BS30" s="2" t="s">
        <v>362</v>
      </c>
      <c r="BT30" s="2" t="s">
        <v>277</v>
      </c>
      <c r="BU30" s="2" t="s">
        <v>284</v>
      </c>
      <c r="BV30" s="2" t="s">
        <v>277</v>
      </c>
      <c r="BW30" s="1" t="s">
        <v>284</v>
      </c>
      <c r="BX30" s="1" t="s">
        <v>277</v>
      </c>
      <c r="BY30" s="2" t="s">
        <v>284</v>
      </c>
      <c r="BZ30" s="2" t="s">
        <v>277</v>
      </c>
      <c r="CA30" s="1" t="s">
        <v>711</v>
      </c>
      <c r="CB30" s="7" t="s">
        <v>727</v>
      </c>
      <c r="CC30" s="8" t="s">
        <v>729</v>
      </c>
      <c r="CD30" s="48">
        <v>311.99</v>
      </c>
      <c r="CE30" s="48">
        <v>331.78</v>
      </c>
      <c r="CF30" s="48">
        <f>CE30/(CE30+CD30)</f>
        <v>0.5153703962595336</v>
      </c>
      <c r="CG30" s="48">
        <f>IF(Data!$CB30="NA",".",Data!$CF30-(1-Data!$CF30))</f>
        <v>0.03074079251906725</v>
      </c>
      <c r="CH30" s="1" t="s">
        <v>277</v>
      </c>
      <c r="CI30" s="17">
        <v>0</v>
      </c>
      <c r="CJ30" s="17">
        <v>0</v>
      </c>
      <c r="CK30" s="17">
        <v>0</v>
      </c>
      <c r="CL30" s="10" t="s">
        <v>303</v>
      </c>
      <c r="CM30" s="10" t="s">
        <v>298</v>
      </c>
      <c r="CN30" s="10" t="s">
        <v>298</v>
      </c>
      <c r="CO30" s="10" t="s">
        <v>299</v>
      </c>
      <c r="CP30" s="10" t="s">
        <v>299</v>
      </c>
      <c r="CQ30" s="10" t="s">
        <v>298</v>
      </c>
      <c r="CR30" s="10" t="s">
        <v>299</v>
      </c>
      <c r="CS30" s="10" t="s">
        <v>298</v>
      </c>
      <c r="CT30" s="10" t="s">
        <v>298</v>
      </c>
      <c r="CU30" s="10" t="s">
        <v>298</v>
      </c>
      <c r="CV30" s="10" t="s">
        <v>298</v>
      </c>
      <c r="CW30" s="10" t="s">
        <v>298</v>
      </c>
      <c r="CX30" s="10" t="s">
        <v>298</v>
      </c>
      <c r="CY30" s="10" t="s">
        <v>298</v>
      </c>
      <c r="CZ30" s="10" t="s">
        <v>298</v>
      </c>
      <c r="DA30" s="10" t="s">
        <v>298</v>
      </c>
      <c r="DB30" s="10" t="s">
        <v>298</v>
      </c>
      <c r="DC30" s="10" t="s">
        <v>298</v>
      </c>
      <c r="DD30" s="10" t="s">
        <v>298</v>
      </c>
      <c r="DE30" s="10" t="s">
        <v>298</v>
      </c>
      <c r="DF30" s="10" t="s">
        <v>298</v>
      </c>
      <c r="DG30" s="10" t="s">
        <v>299</v>
      </c>
      <c r="DH30" s="10" t="s">
        <v>298</v>
      </c>
      <c r="DI30" s="10" t="s">
        <v>298</v>
      </c>
      <c r="DJ30" s="1" t="s">
        <v>277</v>
      </c>
      <c r="DK30" s="1" t="s">
        <v>277</v>
      </c>
      <c r="DL30" s="1" t="s">
        <v>278</v>
      </c>
      <c r="DM30" s="1" t="s">
        <v>278</v>
      </c>
      <c r="DN30" s="48" t="s">
        <v>278</v>
      </c>
      <c r="DO30" s="48" t="s">
        <v>278</v>
      </c>
      <c r="DP30" s="1" t="s">
        <v>277</v>
      </c>
      <c r="DQ30" s="17" t="s">
        <v>278</v>
      </c>
      <c r="DR30" s="17" t="s">
        <v>278</v>
      </c>
      <c r="DS30" s="17" t="s">
        <v>278</v>
      </c>
      <c r="DT30" s="1" t="s">
        <v>277</v>
      </c>
      <c r="DU30" s="1" t="s">
        <v>277</v>
      </c>
      <c r="DV30" s="1" t="s">
        <v>277</v>
      </c>
      <c r="DW30" s="1" t="s">
        <v>277</v>
      </c>
      <c r="DX30" s="1" t="s">
        <v>277</v>
      </c>
      <c r="DY30" s="1" t="s">
        <v>277</v>
      </c>
      <c r="DZ30" s="1" t="s">
        <v>277</v>
      </c>
      <c r="EA30" s="1" t="s">
        <v>277</v>
      </c>
      <c r="EB30" s="1" t="s">
        <v>277</v>
      </c>
      <c r="EC30" s="1" t="s">
        <v>277</v>
      </c>
      <c r="ED30" s="1" t="s">
        <v>277</v>
      </c>
      <c r="EE30" s="1" t="s">
        <v>277</v>
      </c>
      <c r="EF30" s="1" t="s">
        <v>277</v>
      </c>
      <c r="EG30" s="1" t="s">
        <v>277</v>
      </c>
      <c r="EH30" s="1" t="s">
        <v>277</v>
      </c>
      <c r="EI30" s="1" t="s">
        <v>277</v>
      </c>
      <c r="EJ30" s="1" t="s">
        <v>277</v>
      </c>
      <c r="EK30" s="1" t="s">
        <v>277</v>
      </c>
      <c r="EL30" s="1" t="s">
        <v>277</v>
      </c>
      <c r="EM30" s="1" t="s">
        <v>277</v>
      </c>
      <c r="EN30" s="1" t="s">
        <v>277</v>
      </c>
      <c r="EO30" s="1" t="s">
        <v>277</v>
      </c>
      <c r="EP30" s="1" t="s">
        <v>277</v>
      </c>
      <c r="EQ30" s="1" t="s">
        <v>277</v>
      </c>
    </row>
    <row r="31" spans="1:147" s="1" customFormat="1" ht="15" customHeight="1">
      <c r="A31" s="30" t="s">
        <v>254</v>
      </c>
      <c r="B31" s="1">
        <v>28</v>
      </c>
      <c r="C31" s="1">
        <v>19</v>
      </c>
      <c r="D31" s="1">
        <v>2015</v>
      </c>
      <c r="E31" s="4" t="s">
        <v>730</v>
      </c>
      <c r="F31" s="4" t="s">
        <v>731</v>
      </c>
      <c r="G31" s="15">
        <v>2</v>
      </c>
      <c r="H31" s="15">
        <v>3</v>
      </c>
      <c r="I31" s="15">
        <v>0</v>
      </c>
      <c r="J31" s="4" t="s">
        <v>732</v>
      </c>
      <c r="K31" s="4" t="s">
        <v>369</v>
      </c>
      <c r="L31" s="1" t="s">
        <v>258</v>
      </c>
      <c r="M31" s="4" t="s">
        <v>733</v>
      </c>
      <c r="N31" s="1">
        <v>16</v>
      </c>
      <c r="O31" s="1" t="s">
        <v>734</v>
      </c>
      <c r="P31" s="1" t="s">
        <v>431</v>
      </c>
      <c r="Q31" s="1" t="s">
        <v>724</v>
      </c>
      <c r="R31" s="1" t="s">
        <v>1738</v>
      </c>
      <c r="S31" s="1" t="s">
        <v>263</v>
      </c>
      <c r="T31" s="1" t="s">
        <v>326</v>
      </c>
      <c r="U31" s="1" t="s">
        <v>265</v>
      </c>
      <c r="V31" t="s">
        <v>735</v>
      </c>
      <c r="W31" t="s">
        <v>435</v>
      </c>
      <c r="X31" s="10">
        <v>5.16</v>
      </c>
      <c r="Y31" s="10">
        <v>8.84</v>
      </c>
      <c r="Z31" s="10">
        <v>7.03</v>
      </c>
      <c r="AA31" s="10">
        <v>150</v>
      </c>
      <c r="AB31" s="1" t="s">
        <v>736</v>
      </c>
      <c r="AC31" s="1">
        <v>2003</v>
      </c>
      <c r="AD31" s="1">
        <v>2011</v>
      </c>
      <c r="AE31" s="1">
        <v>35.3</v>
      </c>
      <c r="AF31" s="1" t="s">
        <v>439</v>
      </c>
      <c r="AG31" s="1" t="s">
        <v>270</v>
      </c>
      <c r="AH31" s="14" t="s">
        <v>737</v>
      </c>
      <c r="AI31" s="1" t="s">
        <v>605</v>
      </c>
      <c r="AJ31" s="12" t="s">
        <v>277</v>
      </c>
      <c r="AK31" s="1" t="s">
        <v>606</v>
      </c>
      <c r="AL31" s="1" t="s">
        <v>738</v>
      </c>
      <c r="AM31" s="1" t="s">
        <v>276</v>
      </c>
      <c r="AN31" s="10" t="s">
        <v>277</v>
      </c>
      <c r="AO31" s="17">
        <v>1</v>
      </c>
      <c r="AP31" s="17">
        <v>2</v>
      </c>
      <c r="AQ31" s="17">
        <v>493</v>
      </c>
      <c r="AR31" s="18" t="s">
        <v>739</v>
      </c>
      <c r="AS31" s="17">
        <v>2</v>
      </c>
      <c r="AT31" s="17" t="s">
        <v>278</v>
      </c>
      <c r="AU31" s="17" t="s">
        <v>278</v>
      </c>
      <c r="AV31" s="17">
        <v>1011</v>
      </c>
      <c r="AW31" t="s">
        <v>740</v>
      </c>
      <c r="AX31" t="s">
        <v>741</v>
      </c>
      <c r="AY31" s="1" t="s">
        <v>352</v>
      </c>
      <c r="AZ31" s="1" t="s">
        <v>742</v>
      </c>
      <c r="BA31" t="s">
        <v>284</v>
      </c>
      <c r="BB31" s="2" t="s">
        <v>277</v>
      </c>
      <c r="BC31" s="2" t="s">
        <v>284</v>
      </c>
      <c r="BD31" s="2" t="s">
        <v>277</v>
      </c>
      <c r="BE31" s="3" t="s">
        <v>284</v>
      </c>
      <c r="BF31" s="2" t="s">
        <v>277</v>
      </c>
      <c r="BG31" s="3" t="s">
        <v>284</v>
      </c>
      <c r="BH31" s="2" t="s">
        <v>277</v>
      </c>
      <c r="BI31" s="2" t="s">
        <v>284</v>
      </c>
      <c r="BJ31" s="1" t="s">
        <v>277</v>
      </c>
      <c r="BK31" t="s">
        <v>284</v>
      </c>
      <c r="BL31" s="2" t="s">
        <v>277</v>
      </c>
      <c r="BM31" t="s">
        <v>284</v>
      </c>
      <c r="BN31" s="2" t="s">
        <v>277</v>
      </c>
      <c r="BO31" s="2" t="s">
        <v>284</v>
      </c>
      <c r="BP31" s="2" t="s">
        <v>277</v>
      </c>
      <c r="BQ31" s="2" t="s">
        <v>362</v>
      </c>
      <c r="BR31" s="28" t="s">
        <v>277</v>
      </c>
      <c r="BS31" s="2" t="s">
        <v>362</v>
      </c>
      <c r="BT31" s="2" t="s">
        <v>277</v>
      </c>
      <c r="BU31" s="2" t="s">
        <v>284</v>
      </c>
      <c r="BV31" s="2" t="s">
        <v>277</v>
      </c>
      <c r="BW31" s="1" t="s">
        <v>284</v>
      </c>
      <c r="BX31" s="1" t="s">
        <v>277</v>
      </c>
      <c r="BY31" s="2" t="s">
        <v>284</v>
      </c>
      <c r="BZ31" s="2" t="s">
        <v>277</v>
      </c>
      <c r="CA31" s="1" t="s">
        <v>743</v>
      </c>
      <c r="CB31" s="1" t="s">
        <v>744</v>
      </c>
      <c r="CC31" s="76" t="s">
        <v>745</v>
      </c>
      <c r="CD31" s="74">
        <f>34.6/68</f>
        <v>0.5088235294117647</v>
      </c>
      <c r="CE31" s="75">
        <f>5.4/32</f>
        <v>0.16875</v>
      </c>
      <c r="CF31" s="48">
        <f>CE31/(CD31+CE31)</f>
        <v>0.24905046120455784</v>
      </c>
      <c r="CG31" s="48">
        <f>IF(Data!$CB31="NA",".",Data!$CF31-(1-Data!$CF31))</f>
        <v>-0.5018990775908843</v>
      </c>
      <c r="CH31" s="5" t="s">
        <v>746</v>
      </c>
      <c r="CI31" s="17">
        <v>0</v>
      </c>
      <c r="CJ31" s="17">
        <v>1</v>
      </c>
      <c r="CK31" s="17">
        <v>0</v>
      </c>
      <c r="CL31" s="10" t="s">
        <v>303</v>
      </c>
      <c r="CM31" s="10" t="s">
        <v>298</v>
      </c>
      <c r="CN31" s="10" t="s">
        <v>299</v>
      </c>
      <c r="CO31" s="10" t="s">
        <v>299</v>
      </c>
      <c r="CP31" s="10" t="s">
        <v>298</v>
      </c>
      <c r="CQ31" s="10" t="s">
        <v>299</v>
      </c>
      <c r="CR31" s="10" t="s">
        <v>299</v>
      </c>
      <c r="CS31" s="10" t="s">
        <v>298</v>
      </c>
      <c r="CT31" s="10" t="s">
        <v>298</v>
      </c>
      <c r="CU31" s="10" t="s">
        <v>298</v>
      </c>
      <c r="CV31" s="10" t="s">
        <v>298</v>
      </c>
      <c r="CW31" s="10" t="s">
        <v>298</v>
      </c>
      <c r="CX31" s="10" t="s">
        <v>298</v>
      </c>
      <c r="CY31" s="10" t="s">
        <v>298</v>
      </c>
      <c r="CZ31" s="10" t="s">
        <v>298</v>
      </c>
      <c r="DA31" s="10" t="s">
        <v>298</v>
      </c>
      <c r="DB31" s="10" t="s">
        <v>298</v>
      </c>
      <c r="DC31" s="10" t="s">
        <v>298</v>
      </c>
      <c r="DD31" s="10" t="s">
        <v>298</v>
      </c>
      <c r="DE31" s="10" t="s">
        <v>299</v>
      </c>
      <c r="DF31" s="10" t="s">
        <v>298</v>
      </c>
      <c r="DG31" s="10" t="s">
        <v>298</v>
      </c>
      <c r="DH31" s="10" t="s">
        <v>298</v>
      </c>
      <c r="DI31" s="10" t="s">
        <v>298</v>
      </c>
      <c r="DJ31" s="1" t="s">
        <v>747</v>
      </c>
      <c r="DK31" s="8" t="s">
        <v>748</v>
      </c>
      <c r="DL31" s="49">
        <v>52.32329508</v>
      </c>
      <c r="DM31" s="49">
        <v>28.79202975</v>
      </c>
      <c r="DN31" s="48">
        <f>DM31/(DM31+DL31)</f>
        <v>0.35495179006361377</v>
      </c>
      <c r="DO31" s="48">
        <f>DN31-(1-DN31)</f>
        <v>-0.29009641987277246</v>
      </c>
      <c r="DP31" s="5" t="s">
        <v>749</v>
      </c>
      <c r="DQ31" s="17">
        <v>0</v>
      </c>
      <c r="DR31" s="17">
        <v>1</v>
      </c>
      <c r="DS31" s="17">
        <v>0</v>
      </c>
      <c r="DT31" s="10" t="s">
        <v>303</v>
      </c>
      <c r="DU31" s="10" t="s">
        <v>298</v>
      </c>
      <c r="DV31" s="10" t="s">
        <v>299</v>
      </c>
      <c r="DW31" s="10" t="s">
        <v>450</v>
      </c>
      <c r="DX31" s="10" t="s">
        <v>298</v>
      </c>
      <c r="DY31" s="10" t="s">
        <v>299</v>
      </c>
      <c r="DZ31" s="10" t="s">
        <v>299</v>
      </c>
      <c r="EA31" s="10"/>
      <c r="EB31" s="10" t="s">
        <v>298</v>
      </c>
      <c r="EC31" s="10" t="s">
        <v>450</v>
      </c>
      <c r="ED31" s="10" t="s">
        <v>299</v>
      </c>
      <c r="EE31" s="10" t="s">
        <v>298</v>
      </c>
      <c r="EF31" s="10" t="s">
        <v>298</v>
      </c>
      <c r="EG31" s="10" t="s">
        <v>450</v>
      </c>
      <c r="EH31" s="10" t="s">
        <v>298</v>
      </c>
      <c r="EI31" s="10" t="s">
        <v>450</v>
      </c>
      <c r="EJ31" s="10" t="s">
        <v>450</v>
      </c>
      <c r="EK31" s="10" t="s">
        <v>298</v>
      </c>
      <c r="EL31" s="10" t="s">
        <v>298</v>
      </c>
      <c r="EM31" s="10" t="s">
        <v>299</v>
      </c>
      <c r="EN31" s="10" t="s">
        <v>298</v>
      </c>
      <c r="EO31" s="10" t="s">
        <v>298</v>
      </c>
      <c r="EP31" s="10" t="s">
        <v>298</v>
      </c>
      <c r="EQ31" s="10" t="s">
        <v>298</v>
      </c>
    </row>
    <row r="32" spans="1:147" s="1" customFormat="1" ht="15" customHeight="1">
      <c r="A32" s="30" t="s">
        <v>254</v>
      </c>
      <c r="B32" s="1">
        <v>29</v>
      </c>
      <c r="C32" s="1">
        <v>20</v>
      </c>
      <c r="D32" s="1">
        <v>2013</v>
      </c>
      <c r="E32" s="1" t="s">
        <v>750</v>
      </c>
      <c r="F32" s="1" t="s">
        <v>750</v>
      </c>
      <c r="G32" s="15">
        <v>1</v>
      </c>
      <c r="H32" s="15">
        <v>1</v>
      </c>
      <c r="I32" s="15">
        <v>1</v>
      </c>
      <c r="J32" s="1" t="s">
        <v>751</v>
      </c>
      <c r="K32" s="1" t="s">
        <v>752</v>
      </c>
      <c r="L32" s="1" t="s">
        <v>258</v>
      </c>
      <c r="M32" s="1" t="s">
        <v>753</v>
      </c>
      <c r="N32" s="1">
        <v>17</v>
      </c>
      <c r="O32" s="1" t="s">
        <v>734</v>
      </c>
      <c r="P32" s="1" t="s">
        <v>431</v>
      </c>
      <c r="Q32" s="1" t="s">
        <v>754</v>
      </c>
      <c r="R32" s="1" t="s">
        <v>1739</v>
      </c>
      <c r="S32" s="1" t="s">
        <v>412</v>
      </c>
      <c r="T32" s="1" t="s">
        <v>326</v>
      </c>
      <c r="U32" s="1" t="s">
        <v>265</v>
      </c>
      <c r="V32" t="s">
        <v>735</v>
      </c>
      <c r="W32" t="s">
        <v>435</v>
      </c>
      <c r="X32" s="10">
        <v>5.16</v>
      </c>
      <c r="Y32" s="10">
        <v>8.84</v>
      </c>
      <c r="Z32" s="10">
        <v>7.03</v>
      </c>
      <c r="AA32" s="10">
        <v>150</v>
      </c>
      <c r="AB32" s="1" t="s">
        <v>755</v>
      </c>
      <c r="AC32" s="1">
        <v>2003</v>
      </c>
      <c r="AD32" s="1">
        <v>2010</v>
      </c>
      <c r="AE32" s="1">
        <v>35.3</v>
      </c>
      <c r="AF32" s="1" t="s">
        <v>439</v>
      </c>
      <c r="AG32" s="1" t="s">
        <v>270</v>
      </c>
      <c r="AH32" s="14" t="s">
        <v>756</v>
      </c>
      <c r="AI32" s="1" t="s">
        <v>605</v>
      </c>
      <c r="AJ32" s="12" t="s">
        <v>277</v>
      </c>
      <c r="AK32" s="1" t="s">
        <v>606</v>
      </c>
      <c r="AL32" s="1" t="s">
        <v>757</v>
      </c>
      <c r="AM32" s="1" t="s">
        <v>276</v>
      </c>
      <c r="AN32" s="10" t="s">
        <v>277</v>
      </c>
      <c r="AO32" s="17">
        <v>1</v>
      </c>
      <c r="AP32" s="17">
        <v>2</v>
      </c>
      <c r="AQ32" s="17">
        <v>360</v>
      </c>
      <c r="AR32" s="17">
        <v>127</v>
      </c>
      <c r="AS32" s="17">
        <v>2</v>
      </c>
      <c r="AT32" s="17">
        <v>108000</v>
      </c>
      <c r="AU32" s="17">
        <v>108000</v>
      </c>
      <c r="AV32" s="17">
        <v>360</v>
      </c>
      <c r="AW32" t="s">
        <v>740</v>
      </c>
      <c r="AX32" t="s">
        <v>758</v>
      </c>
      <c r="AY32" s="1" t="s">
        <v>352</v>
      </c>
      <c r="AZ32" s="1" t="s">
        <v>759</v>
      </c>
      <c r="BA32" t="s">
        <v>284</v>
      </c>
      <c r="BB32" s="2" t="s">
        <v>277</v>
      </c>
      <c r="BC32" s="2" t="s">
        <v>284</v>
      </c>
      <c r="BD32" s="2" t="s">
        <v>277</v>
      </c>
      <c r="BE32" s="3" t="s">
        <v>284</v>
      </c>
      <c r="BF32" s="2" t="s">
        <v>277</v>
      </c>
      <c r="BG32" s="3" t="s">
        <v>284</v>
      </c>
      <c r="BH32" s="2" t="s">
        <v>277</v>
      </c>
      <c r="BI32" s="2" t="s">
        <v>284</v>
      </c>
      <c r="BJ32" s="1" t="s">
        <v>277</v>
      </c>
      <c r="BK32" t="s">
        <v>284</v>
      </c>
      <c r="BL32" s="2" t="s">
        <v>277</v>
      </c>
      <c r="BM32" t="s">
        <v>284</v>
      </c>
      <c r="BN32" s="26" t="s">
        <v>277</v>
      </c>
      <c r="BO32" s="2" t="s">
        <v>284</v>
      </c>
      <c r="BP32" s="2" t="s">
        <v>277</v>
      </c>
      <c r="BQ32" s="2" t="s">
        <v>362</v>
      </c>
      <c r="BR32" s="28" t="s">
        <v>277</v>
      </c>
      <c r="BS32" s="2" t="s">
        <v>362</v>
      </c>
      <c r="BT32" s="2" t="s">
        <v>277</v>
      </c>
      <c r="BU32" s="2" t="s">
        <v>284</v>
      </c>
      <c r="BV32" s="2" t="s">
        <v>277</v>
      </c>
      <c r="BW32" s="1" t="s">
        <v>284</v>
      </c>
      <c r="BX32" s="1" t="s">
        <v>277</v>
      </c>
      <c r="BY32" s="2" t="s">
        <v>284</v>
      </c>
      <c r="BZ32" s="2" t="s">
        <v>277</v>
      </c>
      <c r="CA32" s="2" t="s">
        <v>277</v>
      </c>
      <c r="CB32" s="1" t="s">
        <v>760</v>
      </c>
      <c r="CC32" s="77" t="s">
        <v>761</v>
      </c>
      <c r="CD32" s="48">
        <v>17</v>
      </c>
      <c r="CE32" s="48">
        <v>5</v>
      </c>
      <c r="CF32" s="48">
        <f>CE32/(CE32+CD32)</f>
        <v>0.22727272727272727</v>
      </c>
      <c r="CG32" s="48">
        <f>IF(Data!$CB32="NA",".",Data!$CF32-(1-Data!$CF32))</f>
        <v>-0.5454545454545454</v>
      </c>
      <c r="CH32" s="1" t="s">
        <v>762</v>
      </c>
      <c r="CI32" s="17">
        <v>0</v>
      </c>
      <c r="CJ32" s="17">
        <v>0</v>
      </c>
      <c r="CK32" s="17">
        <v>0</v>
      </c>
      <c r="CL32" s="10" t="s">
        <v>303</v>
      </c>
      <c r="CM32" s="10" t="s">
        <v>298</v>
      </c>
      <c r="CN32" s="10" t="s">
        <v>299</v>
      </c>
      <c r="CO32" s="10" t="s">
        <v>299</v>
      </c>
      <c r="CP32" s="10" t="s">
        <v>298</v>
      </c>
      <c r="CQ32" s="10" t="s">
        <v>299</v>
      </c>
      <c r="CR32" s="10" t="s">
        <v>299</v>
      </c>
      <c r="CS32" s="10" t="s">
        <v>298</v>
      </c>
      <c r="CT32" s="10" t="s">
        <v>298</v>
      </c>
      <c r="CU32" s="10" t="s">
        <v>298</v>
      </c>
      <c r="CV32" s="10" t="s">
        <v>298</v>
      </c>
      <c r="CW32" s="10" t="s">
        <v>298</v>
      </c>
      <c r="CX32" s="10" t="s">
        <v>298</v>
      </c>
      <c r="CY32" s="10" t="s">
        <v>298</v>
      </c>
      <c r="CZ32" s="10" t="s">
        <v>298</v>
      </c>
      <c r="DA32" s="10" t="s">
        <v>298</v>
      </c>
      <c r="DB32" s="10" t="s">
        <v>298</v>
      </c>
      <c r="DC32" s="10" t="s">
        <v>298</v>
      </c>
      <c r="DD32" s="10" t="s">
        <v>298</v>
      </c>
      <c r="DE32" s="10" t="s">
        <v>299</v>
      </c>
      <c r="DF32" s="10" t="s">
        <v>298</v>
      </c>
      <c r="DG32" s="10" t="s">
        <v>298</v>
      </c>
      <c r="DH32" s="10" t="s">
        <v>298</v>
      </c>
      <c r="DI32" s="10" t="s">
        <v>298</v>
      </c>
      <c r="DJ32" s="1" t="s">
        <v>763</v>
      </c>
      <c r="DK32" s="30" t="s">
        <v>764</v>
      </c>
      <c r="DL32" s="30">
        <v>15.58889</v>
      </c>
      <c r="DM32" s="30">
        <v>7.58889</v>
      </c>
      <c r="DN32" s="48">
        <f>DM32/(DM32+DL32)</f>
        <v>0.3274209177928171</v>
      </c>
      <c r="DO32" s="48">
        <f>DN32-(1-DN32)</f>
        <v>-0.34515816441436575</v>
      </c>
      <c r="DP32" s="1" t="s">
        <v>765</v>
      </c>
      <c r="DQ32" s="17">
        <v>0</v>
      </c>
      <c r="DR32" s="17">
        <v>1</v>
      </c>
      <c r="DS32" s="17">
        <v>0</v>
      </c>
      <c r="DT32" s="10" t="s">
        <v>303</v>
      </c>
      <c r="DU32" s="10" t="s">
        <v>298</v>
      </c>
      <c r="DV32" s="10" t="s">
        <v>299</v>
      </c>
      <c r="DW32" s="10" t="s">
        <v>450</v>
      </c>
      <c r="DX32" s="10" t="s">
        <v>298</v>
      </c>
      <c r="DY32" s="10" t="s">
        <v>299</v>
      </c>
      <c r="DZ32" s="10" t="s">
        <v>299</v>
      </c>
      <c r="EA32" s="10"/>
      <c r="EB32" s="10" t="s">
        <v>298</v>
      </c>
      <c r="EC32" s="10" t="s">
        <v>450</v>
      </c>
      <c r="ED32" s="10" t="s">
        <v>299</v>
      </c>
      <c r="EE32" s="10" t="s">
        <v>298</v>
      </c>
      <c r="EF32" s="10" t="s">
        <v>298</v>
      </c>
      <c r="EG32" s="10" t="s">
        <v>450</v>
      </c>
      <c r="EH32" s="10" t="s">
        <v>766</v>
      </c>
      <c r="EI32" s="10" t="s">
        <v>450</v>
      </c>
      <c r="EJ32" s="10" t="s">
        <v>450</v>
      </c>
      <c r="EK32" s="10" t="s">
        <v>298</v>
      </c>
      <c r="EL32" s="10" t="s">
        <v>298</v>
      </c>
      <c r="EM32" s="10" t="s">
        <v>299</v>
      </c>
      <c r="EN32" s="10" t="s">
        <v>298</v>
      </c>
      <c r="EO32" s="10" t="s">
        <v>298</v>
      </c>
      <c r="EP32" s="10" t="s">
        <v>298</v>
      </c>
      <c r="EQ32" s="10" t="s">
        <v>298</v>
      </c>
    </row>
    <row r="33" spans="1:147" s="1" customFormat="1" ht="15" customHeight="1">
      <c r="A33" s="30" t="s">
        <v>254</v>
      </c>
      <c r="B33" s="1">
        <v>30</v>
      </c>
      <c r="C33" s="1">
        <v>21</v>
      </c>
      <c r="D33" s="1">
        <v>2012</v>
      </c>
      <c r="E33" s="1" t="s">
        <v>767</v>
      </c>
      <c r="F33" s="1" t="s">
        <v>767</v>
      </c>
      <c r="G33" s="15">
        <v>2</v>
      </c>
      <c r="H33" s="15">
        <v>2</v>
      </c>
      <c r="I33" s="15">
        <v>1</v>
      </c>
      <c r="J33" s="4" t="s">
        <v>768</v>
      </c>
      <c r="K33" s="4" t="s">
        <v>769</v>
      </c>
      <c r="L33" s="1" t="s">
        <v>258</v>
      </c>
      <c r="M33" s="1" t="s">
        <v>770</v>
      </c>
      <c r="N33" s="1">
        <v>36</v>
      </c>
      <c r="O33" s="1" t="s">
        <v>771</v>
      </c>
      <c r="P33" s="1" t="s">
        <v>502</v>
      </c>
      <c r="Q33" s="1" t="s">
        <v>695</v>
      </c>
      <c r="R33" s="1" t="s">
        <v>1737</v>
      </c>
      <c r="S33" s="1" t="s">
        <v>263</v>
      </c>
      <c r="T33" s="1" t="s">
        <v>264</v>
      </c>
      <c r="U33" s="1" t="s">
        <v>265</v>
      </c>
      <c r="V33" t="s">
        <v>772</v>
      </c>
      <c r="W33" t="s">
        <v>697</v>
      </c>
      <c r="X33" s="10">
        <v>3.84</v>
      </c>
      <c r="Y33" s="10">
        <v>3.07</v>
      </c>
      <c r="Z33" s="10">
        <v>2.78</v>
      </c>
      <c r="AA33" s="10">
        <v>122</v>
      </c>
      <c r="AB33" s="1">
        <v>2008</v>
      </c>
      <c r="AC33" s="1">
        <v>2008</v>
      </c>
      <c r="AD33" s="1">
        <v>2008</v>
      </c>
      <c r="AE33" s="1">
        <v>33.6</v>
      </c>
      <c r="AF33" s="1" t="s">
        <v>269</v>
      </c>
      <c r="AG33" s="1" t="s">
        <v>270</v>
      </c>
      <c r="AH33" s="1" t="s">
        <v>773</v>
      </c>
      <c r="AI33" s="1" t="s">
        <v>605</v>
      </c>
      <c r="AJ33" s="12" t="s">
        <v>277</v>
      </c>
      <c r="AK33" s="1" t="s">
        <v>606</v>
      </c>
      <c r="AL33" s="1" t="s">
        <v>490</v>
      </c>
      <c r="AM33" t="s">
        <v>375</v>
      </c>
      <c r="AN33" s="10" t="s">
        <v>774</v>
      </c>
      <c r="AO33" s="17">
        <v>1</v>
      </c>
      <c r="AP33" s="17">
        <v>1</v>
      </c>
      <c r="AQ33" s="17">
        <v>2</v>
      </c>
      <c r="AR33" s="17">
        <v>1</v>
      </c>
      <c r="AS33" s="17">
        <v>2</v>
      </c>
      <c r="AT33" s="17">
        <v>194</v>
      </c>
      <c r="AU33" s="17">
        <v>194</v>
      </c>
      <c r="AV33" s="17">
        <v>194</v>
      </c>
      <c r="AW33" t="s">
        <v>740</v>
      </c>
      <c r="AX33" t="s">
        <v>740</v>
      </c>
      <c r="AY33" s="1" t="s">
        <v>282</v>
      </c>
      <c r="AZ33" s="1" t="s">
        <v>775</v>
      </c>
      <c r="BA33" t="s">
        <v>284</v>
      </c>
      <c r="BB33" s="2" t="s">
        <v>277</v>
      </c>
      <c r="BC33" s="2" t="s">
        <v>284</v>
      </c>
      <c r="BD33" s="2" t="s">
        <v>277</v>
      </c>
      <c r="BE33" s="3" t="s">
        <v>284</v>
      </c>
      <c r="BF33" s="2" t="s">
        <v>277</v>
      </c>
      <c r="BG33" t="s">
        <v>284</v>
      </c>
      <c r="BH33" s="2" t="s">
        <v>277</v>
      </c>
      <c r="BI33" s="2" t="s">
        <v>284</v>
      </c>
      <c r="BJ33" s="1" t="s">
        <v>277</v>
      </c>
      <c r="BK33" t="s">
        <v>284</v>
      </c>
      <c r="BL33" s="2" t="s">
        <v>277</v>
      </c>
      <c r="BM33" t="s">
        <v>284</v>
      </c>
      <c r="BN33" s="2" t="s">
        <v>277</v>
      </c>
      <c r="BO33" s="2" t="s">
        <v>284</v>
      </c>
      <c r="BP33" s="2" t="s">
        <v>277</v>
      </c>
      <c r="BQ33" s="2" t="s">
        <v>362</v>
      </c>
      <c r="BR33" s="1" t="s">
        <v>277</v>
      </c>
      <c r="BS33" s="2" t="s">
        <v>362</v>
      </c>
      <c r="BT33" s="2" t="s">
        <v>277</v>
      </c>
      <c r="BU33" s="2" t="s">
        <v>284</v>
      </c>
      <c r="BV33" s="2" t="s">
        <v>277</v>
      </c>
      <c r="BW33" s="1" t="s">
        <v>284</v>
      </c>
      <c r="BX33" s="1" t="s">
        <v>277</v>
      </c>
      <c r="BY33" s="2" t="s">
        <v>284</v>
      </c>
      <c r="BZ33" s="2" t="s">
        <v>277</v>
      </c>
      <c r="CA33" s="2" t="s">
        <v>277</v>
      </c>
      <c r="CB33" s="1" t="s">
        <v>776</v>
      </c>
      <c r="CC33" s="1" t="s">
        <v>777</v>
      </c>
      <c r="CD33" s="48">
        <f>(670+648)/2</f>
        <v>659</v>
      </c>
      <c r="CE33" s="48">
        <f>(520+510)/2</f>
        <v>515</v>
      </c>
      <c r="CF33" s="48">
        <f>CE33/(CE33+CD33)</f>
        <v>0.4386712095400341</v>
      </c>
      <c r="CG33" s="48">
        <f>IF(Data!$CB33="NA",".",Data!$CF33-(1-Data!$CF33))</f>
        <v>-0.1226575809199319</v>
      </c>
      <c r="CH33" s="1" t="s">
        <v>778</v>
      </c>
      <c r="CI33" s="17">
        <v>0</v>
      </c>
      <c r="CJ33" s="17">
        <v>1</v>
      </c>
      <c r="CK33" s="17">
        <v>0</v>
      </c>
      <c r="CL33" s="10" t="s">
        <v>303</v>
      </c>
      <c r="CM33" s="10" t="s">
        <v>298</v>
      </c>
      <c r="CN33" s="10" t="s">
        <v>299</v>
      </c>
      <c r="CO33" s="10" t="s">
        <v>299</v>
      </c>
      <c r="CP33" s="10" t="s">
        <v>299</v>
      </c>
      <c r="CQ33" s="10" t="s">
        <v>299</v>
      </c>
      <c r="CR33" s="10" t="s">
        <v>299</v>
      </c>
      <c r="CS33" s="10" t="s">
        <v>298</v>
      </c>
      <c r="CT33" s="10" t="s">
        <v>298</v>
      </c>
      <c r="CU33" s="10" t="s">
        <v>298</v>
      </c>
      <c r="CV33" s="10" t="s">
        <v>298</v>
      </c>
      <c r="CW33" s="10" t="s">
        <v>298</v>
      </c>
      <c r="CX33" s="10" t="s">
        <v>298</v>
      </c>
      <c r="CY33" s="10" t="s">
        <v>298</v>
      </c>
      <c r="CZ33" s="10" t="s">
        <v>300</v>
      </c>
      <c r="DA33" s="10" t="s">
        <v>298</v>
      </c>
      <c r="DB33" s="10" t="s">
        <v>298</v>
      </c>
      <c r="DC33" s="10" t="s">
        <v>298</v>
      </c>
      <c r="DD33" s="10" t="s">
        <v>298</v>
      </c>
      <c r="DE33" s="10" t="s">
        <v>298</v>
      </c>
      <c r="DF33" s="10" t="s">
        <v>298</v>
      </c>
      <c r="DG33" s="10" t="s">
        <v>298</v>
      </c>
      <c r="DH33" s="10" t="s">
        <v>298</v>
      </c>
      <c r="DI33" s="10" t="s">
        <v>298</v>
      </c>
      <c r="DJ33" s="1" t="s">
        <v>277</v>
      </c>
      <c r="DK33" s="1" t="s">
        <v>277</v>
      </c>
      <c r="DL33" s="1" t="s">
        <v>278</v>
      </c>
      <c r="DM33" s="1" t="s">
        <v>278</v>
      </c>
      <c r="DN33" s="48" t="s">
        <v>278</v>
      </c>
      <c r="DO33" s="48" t="s">
        <v>278</v>
      </c>
      <c r="DP33" s="1" t="s">
        <v>277</v>
      </c>
      <c r="DQ33" s="17" t="s">
        <v>278</v>
      </c>
      <c r="DR33" s="17" t="s">
        <v>278</v>
      </c>
      <c r="DS33" s="17" t="s">
        <v>278</v>
      </c>
      <c r="DT33" s="1" t="s">
        <v>277</v>
      </c>
      <c r="DU33" s="1" t="s">
        <v>277</v>
      </c>
      <c r="DV33" s="1" t="s">
        <v>277</v>
      </c>
      <c r="DW33" s="1" t="s">
        <v>277</v>
      </c>
      <c r="DX33" s="1" t="s">
        <v>277</v>
      </c>
      <c r="DY33" s="1" t="s">
        <v>277</v>
      </c>
      <c r="DZ33" s="1" t="s">
        <v>277</v>
      </c>
      <c r="EA33" s="1" t="s">
        <v>277</v>
      </c>
      <c r="EB33" s="1" t="s">
        <v>277</v>
      </c>
      <c r="EC33" s="1" t="s">
        <v>277</v>
      </c>
      <c r="ED33" s="1" t="s">
        <v>277</v>
      </c>
      <c r="EE33" s="1" t="s">
        <v>277</v>
      </c>
      <c r="EF33" s="1" t="s">
        <v>277</v>
      </c>
      <c r="EG33" s="1" t="s">
        <v>277</v>
      </c>
      <c r="EH33" s="1" t="s">
        <v>277</v>
      </c>
      <c r="EI33" s="1" t="s">
        <v>277</v>
      </c>
      <c r="EJ33" s="1" t="s">
        <v>277</v>
      </c>
      <c r="EK33" s="1" t="s">
        <v>277</v>
      </c>
      <c r="EL33" s="1" t="s">
        <v>277</v>
      </c>
      <c r="EM33" s="1" t="s">
        <v>277</v>
      </c>
      <c r="EN33" s="1" t="s">
        <v>277</v>
      </c>
      <c r="EO33" s="1" t="s">
        <v>277</v>
      </c>
      <c r="EP33" s="1" t="s">
        <v>277</v>
      </c>
      <c r="EQ33" s="1" t="s">
        <v>277</v>
      </c>
    </row>
    <row r="34" spans="1:148" s="1" customFormat="1" ht="15" customHeight="1">
      <c r="A34" s="30" t="s">
        <v>254</v>
      </c>
      <c r="B34" s="1">
        <v>31</v>
      </c>
      <c r="C34" s="1">
        <v>21</v>
      </c>
      <c r="D34" s="1">
        <v>2012</v>
      </c>
      <c r="E34" s="1" t="s">
        <v>767</v>
      </c>
      <c r="F34" s="1" t="s">
        <v>767</v>
      </c>
      <c r="G34" s="15">
        <v>2</v>
      </c>
      <c r="H34" s="15">
        <v>2</v>
      </c>
      <c r="I34" s="15">
        <v>1</v>
      </c>
      <c r="J34" s="4" t="s">
        <v>768</v>
      </c>
      <c r="K34" s="4" t="s">
        <v>769</v>
      </c>
      <c r="L34" s="1" t="s">
        <v>258</v>
      </c>
      <c r="M34" s="1" t="s">
        <v>770</v>
      </c>
      <c r="N34" s="1">
        <v>36</v>
      </c>
      <c r="O34" s="1" t="s">
        <v>771</v>
      </c>
      <c r="P34" s="1" t="s">
        <v>502</v>
      </c>
      <c r="Q34" s="1" t="s">
        <v>695</v>
      </c>
      <c r="S34" s="1" t="s">
        <v>263</v>
      </c>
      <c r="T34" s="1" t="s">
        <v>264</v>
      </c>
      <c r="U34" s="1" t="s">
        <v>265</v>
      </c>
      <c r="V34" t="s">
        <v>772</v>
      </c>
      <c r="W34" t="s">
        <v>697</v>
      </c>
      <c r="X34" s="10">
        <v>3.84</v>
      </c>
      <c r="Y34" s="10">
        <v>3.07</v>
      </c>
      <c r="Z34" s="10">
        <v>2.78</v>
      </c>
      <c r="AA34" s="10">
        <v>122</v>
      </c>
      <c r="AB34" s="1">
        <v>2008</v>
      </c>
      <c r="AC34" s="1">
        <v>2008</v>
      </c>
      <c r="AD34" s="1">
        <v>2008</v>
      </c>
      <c r="AE34" s="1">
        <v>33.6</v>
      </c>
      <c r="AF34" s="1" t="s">
        <v>269</v>
      </c>
      <c r="AG34" s="1" t="s">
        <v>270</v>
      </c>
      <c r="AH34" s="1" t="s">
        <v>779</v>
      </c>
      <c r="AI34" s="1" t="s">
        <v>272</v>
      </c>
      <c r="AJ34" s="12" t="s">
        <v>780</v>
      </c>
      <c r="AK34" s="1" t="s">
        <v>274</v>
      </c>
      <c r="AL34" s="1" t="s">
        <v>490</v>
      </c>
      <c r="AM34" t="s">
        <v>375</v>
      </c>
      <c r="AN34" s="10" t="s">
        <v>774</v>
      </c>
      <c r="AO34" s="17">
        <v>1</v>
      </c>
      <c r="AP34" s="17">
        <v>1</v>
      </c>
      <c r="AQ34" s="17">
        <v>2</v>
      </c>
      <c r="AR34" s="17">
        <v>1</v>
      </c>
      <c r="AS34" s="17">
        <v>2</v>
      </c>
      <c r="AT34" s="17">
        <v>151</v>
      </c>
      <c r="AU34" s="17">
        <v>151</v>
      </c>
      <c r="AV34" s="17">
        <v>151</v>
      </c>
      <c r="AW34" t="s">
        <v>547</v>
      </c>
      <c r="AX34" t="s">
        <v>547</v>
      </c>
      <c r="AY34" s="1" t="s">
        <v>284</v>
      </c>
      <c r="AZ34" s="1" t="s">
        <v>781</v>
      </c>
      <c r="BA34" t="s">
        <v>703</v>
      </c>
      <c r="BB34" s="1" t="s">
        <v>782</v>
      </c>
      <c r="BC34" s="2" t="s">
        <v>284</v>
      </c>
      <c r="BD34" s="2" t="s">
        <v>277</v>
      </c>
      <c r="BE34" s="3" t="s">
        <v>284</v>
      </c>
      <c r="BF34" s="2" t="s">
        <v>277</v>
      </c>
      <c r="BG34" s="3" t="s">
        <v>284</v>
      </c>
      <c r="BH34" s="2" t="s">
        <v>277</v>
      </c>
      <c r="BI34" s="2" t="s">
        <v>284</v>
      </c>
      <c r="BJ34" s="1" t="s">
        <v>277</v>
      </c>
      <c r="BK34" s="2" t="s">
        <v>284</v>
      </c>
      <c r="BL34" s="2" t="s">
        <v>277</v>
      </c>
      <c r="BM34" t="s">
        <v>284</v>
      </c>
      <c r="BN34" s="2" t="s">
        <v>277</v>
      </c>
      <c r="BO34" s="2" t="s">
        <v>284</v>
      </c>
      <c r="BP34" s="2" t="s">
        <v>277</v>
      </c>
      <c r="BQ34" s="2" t="s">
        <v>362</v>
      </c>
      <c r="BR34" s="1" t="s">
        <v>277</v>
      </c>
      <c r="BS34" s="2" t="s">
        <v>362</v>
      </c>
      <c r="BT34" s="2" t="s">
        <v>277</v>
      </c>
      <c r="BU34" s="2" t="s">
        <v>284</v>
      </c>
      <c r="BV34" s="2" t="s">
        <v>277</v>
      </c>
      <c r="BW34" s="1" t="s">
        <v>284</v>
      </c>
      <c r="BX34" s="1" t="s">
        <v>277</v>
      </c>
      <c r="BY34" s="2" t="s">
        <v>783</v>
      </c>
      <c r="BZ34" s="1" t="s">
        <v>784</v>
      </c>
      <c r="CA34" s="2" t="s">
        <v>277</v>
      </c>
      <c r="CB34" s="1" t="s">
        <v>277</v>
      </c>
      <c r="CC34" s="1" t="s">
        <v>277</v>
      </c>
      <c r="CD34" s="1" t="s">
        <v>278</v>
      </c>
      <c r="CE34" s="1" t="s">
        <v>278</v>
      </c>
      <c r="CF34" s="5" t="s">
        <v>278</v>
      </c>
      <c r="CG34" s="48" t="str">
        <f>IF(Data!$CB34="NA",".",Data!$CF34-(1-Data!$CF34))</f>
        <v>.</v>
      </c>
      <c r="CH34" s="1" t="s">
        <v>277</v>
      </c>
      <c r="CI34" s="17" t="s">
        <v>278</v>
      </c>
      <c r="CJ34" s="17" t="s">
        <v>278</v>
      </c>
      <c r="CK34" s="17" t="s">
        <v>278</v>
      </c>
      <c r="CL34" s="1" t="s">
        <v>277</v>
      </c>
      <c r="CM34" s="1" t="s">
        <v>277</v>
      </c>
      <c r="CN34" s="1" t="s">
        <v>277</v>
      </c>
      <c r="CO34" s="1" t="s">
        <v>277</v>
      </c>
      <c r="CP34" s="1" t="s">
        <v>277</v>
      </c>
      <c r="CQ34" s="1" t="s">
        <v>277</v>
      </c>
      <c r="CR34" s="1" t="s">
        <v>277</v>
      </c>
      <c r="CS34" s="1" t="s">
        <v>277</v>
      </c>
      <c r="CT34" s="1" t="s">
        <v>277</v>
      </c>
      <c r="CU34" s="1" t="s">
        <v>277</v>
      </c>
      <c r="CV34" s="1" t="s">
        <v>277</v>
      </c>
      <c r="CW34" s="1" t="s">
        <v>277</v>
      </c>
      <c r="CX34" s="1" t="s">
        <v>277</v>
      </c>
      <c r="CY34" s="1" t="s">
        <v>277</v>
      </c>
      <c r="CZ34" s="1" t="s">
        <v>277</v>
      </c>
      <c r="DA34" s="1" t="s">
        <v>277</v>
      </c>
      <c r="DB34" s="1" t="s">
        <v>277</v>
      </c>
      <c r="DC34" s="1" t="s">
        <v>277</v>
      </c>
      <c r="DD34" s="1" t="s">
        <v>277</v>
      </c>
      <c r="DE34" s="1" t="s">
        <v>277</v>
      </c>
      <c r="DF34" s="1" t="s">
        <v>277</v>
      </c>
      <c r="DG34" s="1" t="s">
        <v>277</v>
      </c>
      <c r="DH34" s="1" t="s">
        <v>277</v>
      </c>
      <c r="DI34" s="1" t="s">
        <v>277</v>
      </c>
      <c r="DJ34" s="1" t="s">
        <v>277</v>
      </c>
      <c r="DK34" s="1" t="s">
        <v>277</v>
      </c>
      <c r="DL34" s="1" t="s">
        <v>278</v>
      </c>
      <c r="DM34" s="1" t="s">
        <v>278</v>
      </c>
      <c r="DN34" s="48" t="s">
        <v>278</v>
      </c>
      <c r="DO34" s="48" t="s">
        <v>278</v>
      </c>
      <c r="DP34" s="1" t="s">
        <v>277</v>
      </c>
      <c r="DQ34" s="17" t="s">
        <v>278</v>
      </c>
      <c r="DR34" s="17" t="s">
        <v>278</v>
      </c>
      <c r="DS34" s="17" t="s">
        <v>278</v>
      </c>
      <c r="DT34" s="1" t="s">
        <v>277</v>
      </c>
      <c r="DU34" s="1" t="s">
        <v>277</v>
      </c>
      <c r="DV34" s="1" t="s">
        <v>277</v>
      </c>
      <c r="DW34" s="1" t="s">
        <v>277</v>
      </c>
      <c r="DX34" s="1" t="s">
        <v>277</v>
      </c>
      <c r="DY34" s="1" t="s">
        <v>277</v>
      </c>
      <c r="DZ34" s="1" t="s">
        <v>277</v>
      </c>
      <c r="EA34" s="1" t="s">
        <v>277</v>
      </c>
      <c r="EB34" s="1" t="s">
        <v>277</v>
      </c>
      <c r="EC34" s="1" t="s">
        <v>277</v>
      </c>
      <c r="ED34" s="1" t="s">
        <v>277</v>
      </c>
      <c r="EE34" s="1" t="s">
        <v>277</v>
      </c>
      <c r="EF34" s="1" t="s">
        <v>277</v>
      </c>
      <c r="EG34" s="1" t="s">
        <v>277</v>
      </c>
      <c r="EH34" s="1" t="s">
        <v>277</v>
      </c>
      <c r="EI34" s="1" t="s">
        <v>277</v>
      </c>
      <c r="EJ34" s="1" t="s">
        <v>277</v>
      </c>
      <c r="EK34" s="1" t="s">
        <v>277</v>
      </c>
      <c r="EL34" s="1" t="s">
        <v>277</v>
      </c>
      <c r="EM34" s="1" t="s">
        <v>277</v>
      </c>
      <c r="EN34" s="1" t="s">
        <v>277</v>
      </c>
      <c r="EO34" s="1" t="s">
        <v>277</v>
      </c>
      <c r="EP34" s="1" t="s">
        <v>277</v>
      </c>
      <c r="EQ34" s="1" t="s">
        <v>277</v>
      </c>
      <c r="ER34" s="30"/>
    </row>
    <row r="35" spans="1:147" s="1" customFormat="1" ht="15" customHeight="1">
      <c r="A35" s="30" t="s">
        <v>254</v>
      </c>
      <c r="B35" s="1">
        <v>32</v>
      </c>
      <c r="C35" s="1">
        <v>22</v>
      </c>
      <c r="D35" s="1">
        <v>2011</v>
      </c>
      <c r="E35" s="1" t="s">
        <v>785</v>
      </c>
      <c r="F35" s="1" t="s">
        <v>785</v>
      </c>
      <c r="G35" s="15">
        <v>0</v>
      </c>
      <c r="H35" s="15">
        <v>1</v>
      </c>
      <c r="I35" s="15">
        <v>0</v>
      </c>
      <c r="J35" s="4" t="s">
        <v>786</v>
      </c>
      <c r="K35" s="4" t="s">
        <v>787</v>
      </c>
      <c r="L35" s="1" t="s">
        <v>258</v>
      </c>
      <c r="M35" s="4" t="s">
        <v>788</v>
      </c>
      <c r="N35" s="1">
        <v>41</v>
      </c>
      <c r="O35" s="1" t="s">
        <v>789</v>
      </c>
      <c r="P35" s="1" t="s">
        <v>431</v>
      </c>
      <c r="Q35" s="1" t="s">
        <v>724</v>
      </c>
      <c r="R35" s="1" t="s">
        <v>1738</v>
      </c>
      <c r="S35" s="1" t="s">
        <v>263</v>
      </c>
      <c r="T35" s="1" t="s">
        <v>264</v>
      </c>
      <c r="U35" s="1" t="s">
        <v>790</v>
      </c>
      <c r="V35" t="s">
        <v>791</v>
      </c>
      <c r="W35" t="s">
        <v>435</v>
      </c>
      <c r="X35" s="10">
        <v>3.31</v>
      </c>
      <c r="Y35" s="10">
        <v>6.18</v>
      </c>
      <c r="Z35" s="10">
        <v>5.35</v>
      </c>
      <c r="AA35" s="10">
        <v>165</v>
      </c>
      <c r="AB35" s="1" t="s">
        <v>792</v>
      </c>
      <c r="AC35" s="1">
        <v>2001</v>
      </c>
      <c r="AD35" s="1">
        <v>2005</v>
      </c>
      <c r="AE35" s="1">
        <v>35.8</v>
      </c>
      <c r="AF35" s="1" t="s">
        <v>664</v>
      </c>
      <c r="AG35" s="1" t="s">
        <v>793</v>
      </c>
      <c r="AH35" s="1" t="s">
        <v>794</v>
      </c>
      <c r="AI35" s="1" t="s">
        <v>272</v>
      </c>
      <c r="AJ35" s="12" t="s">
        <v>795</v>
      </c>
      <c r="AK35" s="1" t="s">
        <v>274</v>
      </c>
      <c r="AL35" s="1" t="s">
        <v>796</v>
      </c>
      <c r="AM35" s="1" t="s">
        <v>276</v>
      </c>
      <c r="AN35" s="10" t="s">
        <v>277</v>
      </c>
      <c r="AO35" s="17">
        <v>1</v>
      </c>
      <c r="AP35" s="17">
        <v>0</v>
      </c>
      <c r="AQ35" s="17">
        <v>153</v>
      </c>
      <c r="AR35" s="17" t="s">
        <v>278</v>
      </c>
      <c r="AS35" s="17">
        <v>14</v>
      </c>
      <c r="AT35" s="17">
        <v>18144</v>
      </c>
      <c r="AU35" s="17">
        <v>18144</v>
      </c>
      <c r="AV35" s="17" t="s">
        <v>797</v>
      </c>
      <c r="AW35" t="s">
        <v>798</v>
      </c>
      <c r="AX35" t="s">
        <v>799</v>
      </c>
      <c r="AY35" s="1" t="s">
        <v>352</v>
      </c>
      <c r="AZ35" s="1" t="s">
        <v>800</v>
      </c>
      <c r="BA35" t="s">
        <v>418</v>
      </c>
      <c r="BB35" s="1" t="s">
        <v>801</v>
      </c>
      <c r="BC35" s="2" t="s">
        <v>284</v>
      </c>
      <c r="BD35" s="2" t="s">
        <v>277</v>
      </c>
      <c r="BE35" s="3" t="s">
        <v>284</v>
      </c>
      <c r="BF35" s="2" t="s">
        <v>277</v>
      </c>
      <c r="BG35" s="3" t="s">
        <v>284</v>
      </c>
      <c r="BH35" s="2" t="s">
        <v>277</v>
      </c>
      <c r="BI35" s="2" t="s">
        <v>284</v>
      </c>
      <c r="BJ35" s="1" t="s">
        <v>277</v>
      </c>
      <c r="BK35" s="2" t="s">
        <v>284</v>
      </c>
      <c r="BL35" s="2" t="s">
        <v>277</v>
      </c>
      <c r="BM35" t="s">
        <v>284</v>
      </c>
      <c r="BN35" s="2" t="s">
        <v>277</v>
      </c>
      <c r="BO35" s="2" t="s">
        <v>284</v>
      </c>
      <c r="BP35" s="2" t="s">
        <v>277</v>
      </c>
      <c r="BQ35" s="2" t="s">
        <v>362</v>
      </c>
      <c r="BR35" s="1" t="s">
        <v>277</v>
      </c>
      <c r="BS35" s="2" t="s">
        <v>362</v>
      </c>
      <c r="BT35" s="2" t="s">
        <v>277</v>
      </c>
      <c r="BU35" s="2" t="s">
        <v>284</v>
      </c>
      <c r="BV35" s="2" t="s">
        <v>277</v>
      </c>
      <c r="BW35" s="1" t="s">
        <v>284</v>
      </c>
      <c r="BX35" s="1" t="s">
        <v>277</v>
      </c>
      <c r="BY35" s="2" t="s">
        <v>284</v>
      </c>
      <c r="BZ35" s="2" t="s">
        <v>277</v>
      </c>
      <c r="CA35" s="2" t="s">
        <v>277</v>
      </c>
      <c r="CB35" s="1" t="s">
        <v>802</v>
      </c>
      <c r="CC35" s="1" t="s">
        <v>803</v>
      </c>
      <c r="CD35" s="48">
        <v>100</v>
      </c>
      <c r="CE35" s="48">
        <f>100-30.8</f>
        <v>69.2</v>
      </c>
      <c r="CF35" s="48">
        <f>CE35/(CE35+CD35)</f>
        <v>0.40898345153664306</v>
      </c>
      <c r="CG35" s="48">
        <f>IF(Data!$CB35="NA",".",Data!$CF35-(1-Data!$CF35))</f>
        <v>-0.18203309692671388</v>
      </c>
      <c r="CH35" s="1" t="s">
        <v>277</v>
      </c>
      <c r="CI35" s="17">
        <v>0</v>
      </c>
      <c r="CJ35" s="17">
        <v>1</v>
      </c>
      <c r="CK35" s="17">
        <v>0</v>
      </c>
      <c r="CL35" s="10" t="s">
        <v>303</v>
      </c>
      <c r="CM35" s="10" t="s">
        <v>298</v>
      </c>
      <c r="CN35" s="10" t="s">
        <v>299</v>
      </c>
      <c r="CO35" s="10" t="s">
        <v>299</v>
      </c>
      <c r="CP35" s="10" t="s">
        <v>299</v>
      </c>
      <c r="CQ35" s="10" t="s">
        <v>450</v>
      </c>
      <c r="CR35" s="10" t="s">
        <v>299</v>
      </c>
      <c r="CS35" s="10" t="s">
        <v>298</v>
      </c>
      <c r="CT35" s="10" t="s">
        <v>298</v>
      </c>
      <c r="CU35" s="10" t="s">
        <v>450</v>
      </c>
      <c r="CV35" s="10" t="s">
        <v>299</v>
      </c>
      <c r="CW35" s="10" t="s">
        <v>450</v>
      </c>
      <c r="CX35" s="10" t="s">
        <v>298</v>
      </c>
      <c r="CY35" s="10" t="s">
        <v>450</v>
      </c>
      <c r="CZ35" s="10" t="s">
        <v>298</v>
      </c>
      <c r="DA35" s="10" t="s">
        <v>450</v>
      </c>
      <c r="DB35" s="10" t="s">
        <v>450</v>
      </c>
      <c r="DC35" s="10" t="s">
        <v>450</v>
      </c>
      <c r="DD35" s="10" t="s">
        <v>298</v>
      </c>
      <c r="DE35" s="10" t="s">
        <v>299</v>
      </c>
      <c r="DF35" s="10" t="s">
        <v>298</v>
      </c>
      <c r="DG35" s="10" t="s">
        <v>298</v>
      </c>
      <c r="DH35" s="10" t="s">
        <v>298</v>
      </c>
      <c r="DI35" s="10" t="s">
        <v>298</v>
      </c>
      <c r="DJ35" s="1" t="s">
        <v>277</v>
      </c>
      <c r="DK35" s="1" t="s">
        <v>277</v>
      </c>
      <c r="DL35" s="1" t="s">
        <v>278</v>
      </c>
      <c r="DM35" s="1" t="s">
        <v>278</v>
      </c>
      <c r="DN35" s="48" t="s">
        <v>278</v>
      </c>
      <c r="DO35" s="48" t="s">
        <v>278</v>
      </c>
      <c r="DP35" s="1" t="s">
        <v>277</v>
      </c>
      <c r="DQ35" s="17" t="s">
        <v>278</v>
      </c>
      <c r="DR35" s="17" t="s">
        <v>278</v>
      </c>
      <c r="DS35" s="17" t="s">
        <v>278</v>
      </c>
      <c r="DT35" s="1" t="s">
        <v>277</v>
      </c>
      <c r="DU35" s="1" t="s">
        <v>277</v>
      </c>
      <c r="DV35" s="1" t="s">
        <v>277</v>
      </c>
      <c r="DW35" s="1" t="s">
        <v>277</v>
      </c>
      <c r="DX35" s="1" t="s">
        <v>277</v>
      </c>
      <c r="DY35" s="1" t="s">
        <v>277</v>
      </c>
      <c r="DZ35" s="1" t="s">
        <v>277</v>
      </c>
      <c r="EA35" s="1" t="s">
        <v>277</v>
      </c>
      <c r="EB35" s="1" t="s">
        <v>277</v>
      </c>
      <c r="EC35" s="1" t="s">
        <v>277</v>
      </c>
      <c r="ED35" s="1" t="s">
        <v>277</v>
      </c>
      <c r="EE35" s="1" t="s">
        <v>277</v>
      </c>
      <c r="EF35" s="1" t="s">
        <v>277</v>
      </c>
      <c r="EG35" s="1" t="s">
        <v>277</v>
      </c>
      <c r="EH35" s="1" t="s">
        <v>277</v>
      </c>
      <c r="EI35" s="1" t="s">
        <v>277</v>
      </c>
      <c r="EJ35" s="1" t="s">
        <v>277</v>
      </c>
      <c r="EK35" s="1" t="s">
        <v>277</v>
      </c>
      <c r="EL35" s="1" t="s">
        <v>277</v>
      </c>
      <c r="EM35" s="1" t="s">
        <v>277</v>
      </c>
      <c r="EN35" s="1" t="s">
        <v>277</v>
      </c>
      <c r="EO35" s="1" t="s">
        <v>277</v>
      </c>
      <c r="EP35" s="1" t="s">
        <v>277</v>
      </c>
      <c r="EQ35" s="1" t="s">
        <v>277</v>
      </c>
    </row>
    <row r="36" spans="1:152" s="1" customFormat="1" ht="15" customHeight="1">
      <c r="A36" s="30" t="s">
        <v>254</v>
      </c>
      <c r="B36" s="1">
        <v>33</v>
      </c>
      <c r="C36" s="1">
        <v>23</v>
      </c>
      <c r="D36" s="1">
        <v>2013</v>
      </c>
      <c r="E36" s="1" t="s">
        <v>804</v>
      </c>
      <c r="F36" s="1" t="s">
        <v>805</v>
      </c>
      <c r="G36" s="15">
        <v>5</v>
      </c>
      <c r="H36" s="15">
        <v>5</v>
      </c>
      <c r="I36" s="15">
        <v>1</v>
      </c>
      <c r="J36" s="4" t="s">
        <v>806</v>
      </c>
      <c r="K36" s="4" t="s">
        <v>369</v>
      </c>
      <c r="L36" s="1" t="s">
        <v>258</v>
      </c>
      <c r="M36" t="s">
        <v>807</v>
      </c>
      <c r="N36" s="10">
        <v>57</v>
      </c>
      <c r="O36" s="1" t="s">
        <v>808</v>
      </c>
      <c r="P36" s="1" t="s">
        <v>431</v>
      </c>
      <c r="Q36" s="1" t="s">
        <v>724</v>
      </c>
      <c r="R36" s="1" t="s">
        <v>1738</v>
      </c>
      <c r="S36" s="1" t="s">
        <v>263</v>
      </c>
      <c r="T36" s="1" t="s">
        <v>264</v>
      </c>
      <c r="U36" s="1" t="s">
        <v>265</v>
      </c>
      <c r="V36" t="s">
        <v>809</v>
      </c>
      <c r="W36" t="s">
        <v>267</v>
      </c>
      <c r="X36" s="10">
        <v>15.13</v>
      </c>
      <c r="Y36" s="10">
        <v>3.72</v>
      </c>
      <c r="Z36" s="10">
        <v>2.57</v>
      </c>
      <c r="AA36" s="10">
        <v>650</v>
      </c>
      <c r="AB36" s="1">
        <v>2010</v>
      </c>
      <c r="AC36" s="1">
        <v>2010</v>
      </c>
      <c r="AD36" s="1">
        <v>2010</v>
      </c>
      <c r="AE36" s="1">
        <v>22</v>
      </c>
      <c r="AF36" s="1" t="s">
        <v>269</v>
      </c>
      <c r="AG36" s="1" t="s">
        <v>270</v>
      </c>
      <c r="AH36" s="1" t="s">
        <v>810</v>
      </c>
      <c r="AI36" s="1" t="s">
        <v>272</v>
      </c>
      <c r="AJ36" t="s">
        <v>811</v>
      </c>
      <c r="AK36" s="1" t="s">
        <v>439</v>
      </c>
      <c r="AL36" s="1" t="s">
        <v>812</v>
      </c>
      <c r="AM36" s="1" t="s">
        <v>375</v>
      </c>
      <c r="AN36" s="10" t="s">
        <v>277</v>
      </c>
      <c r="AO36" s="17">
        <v>1</v>
      </c>
      <c r="AP36" s="17">
        <v>1</v>
      </c>
      <c r="AQ36" s="44" t="s">
        <v>1723</v>
      </c>
      <c r="AR36" s="17" t="s">
        <v>278</v>
      </c>
      <c r="AS36" s="17">
        <v>11</v>
      </c>
      <c r="AT36" s="17">
        <v>381</v>
      </c>
      <c r="AU36" s="17">
        <v>381</v>
      </c>
      <c r="AV36" s="17">
        <v>381</v>
      </c>
      <c r="AW36" t="s">
        <v>798</v>
      </c>
      <c r="AX36" t="s">
        <v>813</v>
      </c>
      <c r="AY36" s="1" t="s">
        <v>282</v>
      </c>
      <c r="AZ36" s="1" t="s">
        <v>814</v>
      </c>
      <c r="BA36" t="s">
        <v>284</v>
      </c>
      <c r="BB36" s="1" t="s">
        <v>277</v>
      </c>
      <c r="BC36" s="2" t="s">
        <v>289</v>
      </c>
      <c r="BD36" s="2" t="s">
        <v>815</v>
      </c>
      <c r="BE36" s="3" t="s">
        <v>284</v>
      </c>
      <c r="BF36" s="2" t="s">
        <v>277</v>
      </c>
      <c r="BG36" s="3" t="s">
        <v>284</v>
      </c>
      <c r="BH36" s="2" t="s">
        <v>277</v>
      </c>
      <c r="BI36" s="2" t="s">
        <v>284</v>
      </c>
      <c r="BJ36" s="1" t="s">
        <v>277</v>
      </c>
      <c r="BK36" s="2" t="s">
        <v>816</v>
      </c>
      <c r="BL36" s="1" t="s">
        <v>817</v>
      </c>
      <c r="BM36" t="s">
        <v>284</v>
      </c>
      <c r="BN36" s="2" t="s">
        <v>277</v>
      </c>
      <c r="BO36" s="2" t="s">
        <v>284</v>
      </c>
      <c r="BP36" s="2" t="s">
        <v>277</v>
      </c>
      <c r="BQ36" s="2" t="s">
        <v>362</v>
      </c>
      <c r="BR36" s="1" t="s">
        <v>277</v>
      </c>
      <c r="BS36" s="2" t="s">
        <v>362</v>
      </c>
      <c r="BT36" s="2" t="s">
        <v>277</v>
      </c>
      <c r="BU36" s="2" t="s">
        <v>284</v>
      </c>
      <c r="BV36" s="2" t="s">
        <v>277</v>
      </c>
      <c r="BW36" s="1" t="s">
        <v>284</v>
      </c>
      <c r="BX36" s="1" t="s">
        <v>277</v>
      </c>
      <c r="BY36" s="2" t="s">
        <v>284</v>
      </c>
      <c r="BZ36" s="2" t="s">
        <v>277</v>
      </c>
      <c r="CA36" s="1" t="s">
        <v>818</v>
      </c>
      <c r="CB36" s="1" t="s">
        <v>1722</v>
      </c>
      <c r="CC36" s="1" t="s">
        <v>819</v>
      </c>
      <c r="CD36" s="48">
        <f>(271+81)/(4134-877)</f>
        <v>0.10807491556647221</v>
      </c>
      <c r="CE36" s="48">
        <f>(30+81)/877</f>
        <v>0.1265678449258837</v>
      </c>
      <c r="CF36" s="48">
        <f>CE36/(CE36+CD36)</f>
        <v>0.5394065628119261</v>
      </c>
      <c r="CG36" s="48">
        <f>IF(Data!$CB36="NA",".",Data!$CF36-(1-Data!$CF36))</f>
        <v>0.07881312562385223</v>
      </c>
      <c r="CH36" s="1" t="s">
        <v>820</v>
      </c>
      <c r="CI36" s="17">
        <v>0</v>
      </c>
      <c r="CJ36" s="17">
        <v>1</v>
      </c>
      <c r="CK36" s="17">
        <v>0</v>
      </c>
      <c r="CL36" s="10" t="s">
        <v>303</v>
      </c>
      <c r="CM36" s="10" t="s">
        <v>298</v>
      </c>
      <c r="CN36" s="10" t="s">
        <v>299</v>
      </c>
      <c r="CO36" s="10" t="s">
        <v>299</v>
      </c>
      <c r="CP36" s="10" t="s">
        <v>299</v>
      </c>
      <c r="CQ36" s="10" t="s">
        <v>298</v>
      </c>
      <c r="CR36" s="10" t="s">
        <v>299</v>
      </c>
      <c r="CS36" s="10" t="s">
        <v>298</v>
      </c>
      <c r="CT36" s="10" t="s">
        <v>298</v>
      </c>
      <c r="CU36" s="10" t="s">
        <v>298</v>
      </c>
      <c r="CV36" s="10" t="s">
        <v>298</v>
      </c>
      <c r="CW36" s="10" t="s">
        <v>298</v>
      </c>
      <c r="CX36" s="10" t="s">
        <v>298</v>
      </c>
      <c r="CY36" s="10" t="s">
        <v>298</v>
      </c>
      <c r="CZ36" s="10" t="s">
        <v>300</v>
      </c>
      <c r="DA36" s="10" t="s">
        <v>298</v>
      </c>
      <c r="DB36" s="10" t="s">
        <v>298</v>
      </c>
      <c r="DC36" s="10" t="s">
        <v>298</v>
      </c>
      <c r="DD36" s="10" t="s">
        <v>298</v>
      </c>
      <c r="DE36" s="10" t="s">
        <v>298</v>
      </c>
      <c r="DF36" s="10" t="s">
        <v>298</v>
      </c>
      <c r="DG36" s="10" t="s">
        <v>298</v>
      </c>
      <c r="DH36" s="10" t="s">
        <v>298</v>
      </c>
      <c r="DI36" s="10" t="s">
        <v>298</v>
      </c>
      <c r="DJ36" s="1" t="s">
        <v>277</v>
      </c>
      <c r="DK36" s="1" t="s">
        <v>277</v>
      </c>
      <c r="DL36" s="1" t="s">
        <v>278</v>
      </c>
      <c r="DM36" s="1" t="s">
        <v>278</v>
      </c>
      <c r="DN36" s="48" t="s">
        <v>278</v>
      </c>
      <c r="DO36" s="48" t="s">
        <v>278</v>
      </c>
      <c r="DP36" s="1" t="s">
        <v>277</v>
      </c>
      <c r="DQ36" s="17" t="s">
        <v>278</v>
      </c>
      <c r="DR36" s="17" t="s">
        <v>278</v>
      </c>
      <c r="DS36" s="17" t="s">
        <v>278</v>
      </c>
      <c r="DT36" s="1" t="s">
        <v>277</v>
      </c>
      <c r="DU36" s="1" t="s">
        <v>277</v>
      </c>
      <c r="DV36" s="1" t="s">
        <v>277</v>
      </c>
      <c r="DW36" s="1" t="s">
        <v>277</v>
      </c>
      <c r="DX36" s="1" t="s">
        <v>277</v>
      </c>
      <c r="DY36" s="1" t="s">
        <v>277</v>
      </c>
      <c r="DZ36" s="1" t="s">
        <v>277</v>
      </c>
      <c r="EA36" s="1" t="s">
        <v>277</v>
      </c>
      <c r="EB36" s="1" t="s">
        <v>277</v>
      </c>
      <c r="EC36" s="1" t="s">
        <v>277</v>
      </c>
      <c r="ED36" s="1" t="s">
        <v>277</v>
      </c>
      <c r="EE36" s="1" t="s">
        <v>277</v>
      </c>
      <c r="EF36" s="1" t="s">
        <v>277</v>
      </c>
      <c r="EG36" s="1" t="s">
        <v>277</v>
      </c>
      <c r="EH36" s="1" t="s">
        <v>277</v>
      </c>
      <c r="EI36" s="1" t="s">
        <v>277</v>
      </c>
      <c r="EJ36" s="1" t="s">
        <v>277</v>
      </c>
      <c r="EK36" s="1" t="s">
        <v>277</v>
      </c>
      <c r="EL36" s="1" t="s">
        <v>277</v>
      </c>
      <c r="EM36" s="1" t="s">
        <v>277</v>
      </c>
      <c r="EN36" s="1" t="s">
        <v>277</v>
      </c>
      <c r="EO36" s="1" t="s">
        <v>277</v>
      </c>
      <c r="EP36" s="1" t="s">
        <v>277</v>
      </c>
      <c r="EQ36" s="1" t="s">
        <v>277</v>
      </c>
      <c r="ET36" s="37"/>
      <c r="EU36" s="21"/>
      <c r="EV36" s="37"/>
    </row>
    <row r="37" spans="1:147" s="1" customFormat="1" ht="15" customHeight="1">
      <c r="A37" s="30" t="s">
        <v>254</v>
      </c>
      <c r="B37" s="1">
        <v>34</v>
      </c>
      <c r="C37" s="1">
        <v>24</v>
      </c>
      <c r="D37" s="1">
        <v>2008</v>
      </c>
      <c r="E37" s="1" t="s">
        <v>821</v>
      </c>
      <c r="F37" s="1" t="s">
        <v>822</v>
      </c>
      <c r="G37" s="15">
        <v>0</v>
      </c>
      <c r="H37" s="15">
        <v>4</v>
      </c>
      <c r="I37" s="15">
        <v>0</v>
      </c>
      <c r="J37" s="4" t="s">
        <v>823</v>
      </c>
      <c r="K37" s="4" t="s">
        <v>824</v>
      </c>
      <c r="L37" s="1" t="s">
        <v>258</v>
      </c>
      <c r="M37" s="4" t="s">
        <v>825</v>
      </c>
      <c r="N37" s="1">
        <v>149</v>
      </c>
      <c r="O37" s="1" t="s">
        <v>826</v>
      </c>
      <c r="P37" s="1" t="s">
        <v>431</v>
      </c>
      <c r="Q37" s="1" t="s">
        <v>827</v>
      </c>
      <c r="R37" s="1" t="s">
        <v>1740</v>
      </c>
      <c r="S37" s="1" t="s">
        <v>263</v>
      </c>
      <c r="T37" s="1" t="s">
        <v>326</v>
      </c>
      <c r="U37" s="1" t="s">
        <v>265</v>
      </c>
      <c r="V37" t="s">
        <v>735</v>
      </c>
      <c r="W37" t="s">
        <v>435</v>
      </c>
      <c r="X37" s="10">
        <v>5.16</v>
      </c>
      <c r="Y37" s="10">
        <v>8.84</v>
      </c>
      <c r="Z37" s="10">
        <v>7.03</v>
      </c>
      <c r="AA37" s="10">
        <v>150</v>
      </c>
      <c r="AB37" s="1">
        <v>2003</v>
      </c>
      <c r="AC37" s="1">
        <v>2003</v>
      </c>
      <c r="AD37" s="1">
        <v>2003</v>
      </c>
      <c r="AE37" s="1">
        <v>35.3</v>
      </c>
      <c r="AF37" s="1" t="s">
        <v>269</v>
      </c>
      <c r="AG37" s="1" t="s">
        <v>270</v>
      </c>
      <c r="AH37" s="14" t="s">
        <v>828</v>
      </c>
      <c r="AI37" s="1" t="s">
        <v>605</v>
      </c>
      <c r="AJ37" t="s">
        <v>277</v>
      </c>
      <c r="AK37" s="1" t="s">
        <v>606</v>
      </c>
      <c r="AL37" s="1" t="s">
        <v>829</v>
      </c>
      <c r="AM37" s="1" t="s">
        <v>276</v>
      </c>
      <c r="AN37" s="10" t="s">
        <v>277</v>
      </c>
      <c r="AO37" s="17">
        <v>1</v>
      </c>
      <c r="AP37" s="17">
        <v>1</v>
      </c>
      <c r="AQ37" s="17">
        <v>948</v>
      </c>
      <c r="AR37" s="17" t="s">
        <v>278</v>
      </c>
      <c r="AS37" s="17">
        <v>2</v>
      </c>
      <c r="AT37" s="17" t="s">
        <v>830</v>
      </c>
      <c r="AU37" s="17" t="s">
        <v>830</v>
      </c>
      <c r="AV37" s="17">
        <v>948</v>
      </c>
      <c r="AW37" t="s">
        <v>831</v>
      </c>
      <c r="AX37" t="s">
        <v>832</v>
      </c>
      <c r="AY37" s="1" t="s">
        <v>282</v>
      </c>
      <c r="AZ37" s="1" t="s">
        <v>833</v>
      </c>
      <c r="BA37" t="s">
        <v>284</v>
      </c>
      <c r="BB37" s="2" t="s">
        <v>277</v>
      </c>
      <c r="BC37" s="2" t="s">
        <v>284</v>
      </c>
      <c r="BD37" s="2" t="s">
        <v>277</v>
      </c>
      <c r="BE37" s="3" t="s">
        <v>284</v>
      </c>
      <c r="BF37" s="2" t="s">
        <v>277</v>
      </c>
      <c r="BG37" s="3" t="s">
        <v>284</v>
      </c>
      <c r="BH37" s="2" t="s">
        <v>277</v>
      </c>
      <c r="BI37" s="2" t="s">
        <v>284</v>
      </c>
      <c r="BJ37" s="1" t="s">
        <v>277</v>
      </c>
      <c r="BK37" t="s">
        <v>284</v>
      </c>
      <c r="BL37" s="2" t="s">
        <v>277</v>
      </c>
      <c r="BM37" t="s">
        <v>284</v>
      </c>
      <c r="BN37" s="2" t="s">
        <v>277</v>
      </c>
      <c r="BO37" s="2" t="s">
        <v>284</v>
      </c>
      <c r="BP37" s="2" t="s">
        <v>277</v>
      </c>
      <c r="BQ37" s="2" t="s">
        <v>362</v>
      </c>
      <c r="BR37" s="1" t="s">
        <v>277</v>
      </c>
      <c r="BS37" s="2" t="s">
        <v>362</v>
      </c>
      <c r="BT37" s="2" t="s">
        <v>277</v>
      </c>
      <c r="BU37" s="2" t="s">
        <v>284</v>
      </c>
      <c r="BV37" s="2" t="s">
        <v>277</v>
      </c>
      <c r="BW37" s="1" t="s">
        <v>284</v>
      </c>
      <c r="BX37" s="1" t="s">
        <v>277</v>
      </c>
      <c r="BY37" s="2" t="s">
        <v>284</v>
      </c>
      <c r="BZ37" s="2" t="s">
        <v>277</v>
      </c>
      <c r="CA37" s="2" t="s">
        <v>277</v>
      </c>
      <c r="CB37" s="1" t="s">
        <v>834</v>
      </c>
      <c r="CC37" s="1" t="s">
        <v>835</v>
      </c>
      <c r="CD37" s="48">
        <f>EXP(0.47)</f>
        <v>1.5999941932173602</v>
      </c>
      <c r="CE37" s="48">
        <v>1</v>
      </c>
      <c r="CF37" s="48">
        <f>CE37/(CE37+CD37)</f>
        <v>0.38461624360881785</v>
      </c>
      <c r="CG37" s="48">
        <f>IF(Data!$CB37="NA",".",Data!$CF37-(1-Data!$CF37))</f>
        <v>-0.2307675127823643</v>
      </c>
      <c r="CH37" s="1" t="s">
        <v>836</v>
      </c>
      <c r="CI37" s="17">
        <v>0</v>
      </c>
      <c r="CJ37" s="17">
        <v>1</v>
      </c>
      <c r="CK37" s="17">
        <v>0</v>
      </c>
      <c r="CL37" s="10" t="s">
        <v>303</v>
      </c>
      <c r="CM37" s="10" t="s">
        <v>298</v>
      </c>
      <c r="CN37" s="10" t="s">
        <v>299</v>
      </c>
      <c r="CO37" s="10" t="s">
        <v>450</v>
      </c>
      <c r="CP37" s="10" t="s">
        <v>299</v>
      </c>
      <c r="CQ37" s="10" t="s">
        <v>298</v>
      </c>
      <c r="CR37" s="10" t="s">
        <v>299</v>
      </c>
      <c r="CS37" s="10" t="s">
        <v>298</v>
      </c>
      <c r="CT37" s="10" t="s">
        <v>298</v>
      </c>
      <c r="CU37" s="10" t="s">
        <v>450</v>
      </c>
      <c r="CV37" s="10" t="s">
        <v>450</v>
      </c>
      <c r="CW37" s="10" t="s">
        <v>450</v>
      </c>
      <c r="CX37" s="10" t="s">
        <v>299</v>
      </c>
      <c r="CY37" s="10" t="s">
        <v>450</v>
      </c>
      <c r="CZ37" s="10" t="s">
        <v>766</v>
      </c>
      <c r="DA37" s="10" t="s">
        <v>298</v>
      </c>
      <c r="DB37" s="10" t="s">
        <v>298</v>
      </c>
      <c r="DC37" s="10" t="s">
        <v>298</v>
      </c>
      <c r="DD37" s="10" t="s">
        <v>450</v>
      </c>
      <c r="DE37" s="10" t="s">
        <v>299</v>
      </c>
      <c r="DF37" s="10" t="s">
        <v>298</v>
      </c>
      <c r="DG37" s="10" t="s">
        <v>298</v>
      </c>
      <c r="DH37" s="10" t="s">
        <v>298</v>
      </c>
      <c r="DI37" s="10" t="s">
        <v>298</v>
      </c>
      <c r="DJ37" s="1" t="s">
        <v>277</v>
      </c>
      <c r="DK37" s="1" t="s">
        <v>277</v>
      </c>
      <c r="DL37" s="1" t="s">
        <v>278</v>
      </c>
      <c r="DM37" s="1" t="s">
        <v>278</v>
      </c>
      <c r="DN37" s="48" t="s">
        <v>278</v>
      </c>
      <c r="DO37" s="48" t="s">
        <v>278</v>
      </c>
      <c r="DP37" s="1" t="s">
        <v>277</v>
      </c>
      <c r="DQ37" s="17" t="s">
        <v>278</v>
      </c>
      <c r="DR37" s="17" t="s">
        <v>278</v>
      </c>
      <c r="DS37" s="17" t="s">
        <v>278</v>
      </c>
      <c r="DT37" s="1" t="s">
        <v>277</v>
      </c>
      <c r="DU37" s="1" t="s">
        <v>277</v>
      </c>
      <c r="DV37" s="1" t="s">
        <v>277</v>
      </c>
      <c r="DW37" s="1" t="s">
        <v>277</v>
      </c>
      <c r="DX37" s="1" t="s">
        <v>277</v>
      </c>
      <c r="DY37" s="1" t="s">
        <v>277</v>
      </c>
      <c r="DZ37" s="1" t="s">
        <v>277</v>
      </c>
      <c r="EA37" s="1" t="s">
        <v>277</v>
      </c>
      <c r="EB37" s="1" t="s">
        <v>277</v>
      </c>
      <c r="EC37" s="1" t="s">
        <v>277</v>
      </c>
      <c r="ED37" s="1" t="s">
        <v>277</v>
      </c>
      <c r="EE37" s="1" t="s">
        <v>277</v>
      </c>
      <c r="EF37" s="1" t="s">
        <v>277</v>
      </c>
      <c r="EG37" s="1" t="s">
        <v>277</v>
      </c>
      <c r="EH37" s="1" t="s">
        <v>277</v>
      </c>
      <c r="EI37" s="1" t="s">
        <v>277</v>
      </c>
      <c r="EJ37" s="1" t="s">
        <v>277</v>
      </c>
      <c r="EK37" s="1" t="s">
        <v>277</v>
      </c>
      <c r="EL37" s="1" t="s">
        <v>277</v>
      </c>
      <c r="EM37" s="1" t="s">
        <v>277</v>
      </c>
      <c r="EN37" s="1" t="s">
        <v>277</v>
      </c>
      <c r="EO37" s="1" t="s">
        <v>277</v>
      </c>
      <c r="EP37" s="1" t="s">
        <v>277</v>
      </c>
      <c r="EQ37" s="1" t="s">
        <v>277</v>
      </c>
    </row>
    <row r="38" spans="1:147" s="1" customFormat="1" ht="15" customHeight="1">
      <c r="A38" s="30" t="s">
        <v>254</v>
      </c>
      <c r="B38" s="1">
        <v>35</v>
      </c>
      <c r="C38" s="1">
        <v>24</v>
      </c>
      <c r="D38" s="1">
        <v>2008</v>
      </c>
      <c r="E38" s="1" t="s">
        <v>821</v>
      </c>
      <c r="F38" s="1" t="s">
        <v>822</v>
      </c>
      <c r="G38" s="15">
        <v>0</v>
      </c>
      <c r="H38" s="15">
        <v>4</v>
      </c>
      <c r="I38" s="15">
        <v>0</v>
      </c>
      <c r="J38" s="4" t="s">
        <v>823</v>
      </c>
      <c r="K38" s="4" t="s">
        <v>824</v>
      </c>
      <c r="L38" s="1" t="s">
        <v>258</v>
      </c>
      <c r="M38" s="4" t="s">
        <v>825</v>
      </c>
      <c r="N38" s="1">
        <v>149</v>
      </c>
      <c r="O38" s="1" t="s">
        <v>826</v>
      </c>
      <c r="P38" s="1" t="s">
        <v>431</v>
      </c>
      <c r="Q38" s="1" t="s">
        <v>827</v>
      </c>
      <c r="R38" s="1" t="s">
        <v>1740</v>
      </c>
      <c r="S38" s="1" t="s">
        <v>263</v>
      </c>
      <c r="T38" s="1" t="s">
        <v>326</v>
      </c>
      <c r="U38" s="1" t="s">
        <v>265</v>
      </c>
      <c r="V38" t="s">
        <v>735</v>
      </c>
      <c r="W38" t="s">
        <v>435</v>
      </c>
      <c r="X38" s="10">
        <v>5.16</v>
      </c>
      <c r="Y38" s="10">
        <v>8.84</v>
      </c>
      <c r="Z38" s="10">
        <v>7.03</v>
      </c>
      <c r="AA38" s="10">
        <v>150</v>
      </c>
      <c r="AB38" s="1">
        <v>2003</v>
      </c>
      <c r="AC38" s="1">
        <v>2003</v>
      </c>
      <c r="AD38" s="1">
        <v>2003</v>
      </c>
      <c r="AE38" s="1">
        <v>35.3</v>
      </c>
      <c r="AF38" s="1" t="s">
        <v>269</v>
      </c>
      <c r="AG38" s="1" t="s">
        <v>270</v>
      </c>
      <c r="AH38" s="14" t="s">
        <v>837</v>
      </c>
      <c r="AI38" s="1" t="s">
        <v>272</v>
      </c>
      <c r="AJ38" t="s">
        <v>838</v>
      </c>
      <c r="AK38" s="1" t="s">
        <v>274</v>
      </c>
      <c r="AL38" s="1" t="s">
        <v>829</v>
      </c>
      <c r="AM38" s="1" t="s">
        <v>276</v>
      </c>
      <c r="AN38" s="10" t="s">
        <v>277</v>
      </c>
      <c r="AO38" s="17">
        <v>1</v>
      </c>
      <c r="AP38" s="17">
        <v>1</v>
      </c>
      <c r="AQ38" s="17">
        <v>948</v>
      </c>
      <c r="AR38" s="17" t="s">
        <v>278</v>
      </c>
      <c r="AS38" s="17">
        <v>8</v>
      </c>
      <c r="AT38" s="17" t="s">
        <v>839</v>
      </c>
      <c r="AU38" s="17" t="s">
        <v>839</v>
      </c>
      <c r="AV38" s="17">
        <v>948</v>
      </c>
      <c r="AW38" s="1" t="s">
        <v>798</v>
      </c>
      <c r="AX38" t="s">
        <v>832</v>
      </c>
      <c r="AY38" s="1" t="s">
        <v>352</v>
      </c>
      <c r="AZ38" s="1" t="s">
        <v>840</v>
      </c>
      <c r="BA38" t="s">
        <v>284</v>
      </c>
      <c r="BB38" s="2" t="s">
        <v>277</v>
      </c>
      <c r="BC38" s="2" t="s">
        <v>284</v>
      </c>
      <c r="BD38" s="2" t="s">
        <v>277</v>
      </c>
      <c r="BE38" s="3" t="s">
        <v>284</v>
      </c>
      <c r="BF38" s="2" t="s">
        <v>277</v>
      </c>
      <c r="BG38" s="3" t="s">
        <v>284</v>
      </c>
      <c r="BH38" s="2" t="s">
        <v>277</v>
      </c>
      <c r="BI38" s="2" t="s">
        <v>284</v>
      </c>
      <c r="BJ38" s="1" t="s">
        <v>277</v>
      </c>
      <c r="BK38" s="2" t="s">
        <v>284</v>
      </c>
      <c r="BL38" s="2" t="s">
        <v>277</v>
      </c>
      <c r="BM38" t="s">
        <v>284</v>
      </c>
      <c r="BN38" s="2" t="s">
        <v>277</v>
      </c>
      <c r="BO38" s="2" t="s">
        <v>284</v>
      </c>
      <c r="BP38" s="2" t="s">
        <v>277</v>
      </c>
      <c r="BQ38" s="2" t="s">
        <v>362</v>
      </c>
      <c r="BR38" s="1" t="s">
        <v>277</v>
      </c>
      <c r="BS38" s="2" t="s">
        <v>362</v>
      </c>
      <c r="BT38" s="2" t="s">
        <v>277</v>
      </c>
      <c r="BU38" s="2" t="s">
        <v>284</v>
      </c>
      <c r="BV38" s="2" t="s">
        <v>277</v>
      </c>
      <c r="BW38" s="1" t="s">
        <v>284</v>
      </c>
      <c r="BX38" s="1" t="s">
        <v>277</v>
      </c>
      <c r="BY38" s="2" t="s">
        <v>284</v>
      </c>
      <c r="BZ38" s="2" t="s">
        <v>277</v>
      </c>
      <c r="CA38" s="2" t="s">
        <v>277</v>
      </c>
      <c r="CB38" s="1" t="s">
        <v>841</v>
      </c>
      <c r="CC38" s="1" t="s">
        <v>842</v>
      </c>
      <c r="CD38" s="48">
        <f>EXP(0.33)</f>
        <v>1.3909681284637803</v>
      </c>
      <c r="CE38" s="48">
        <v>1</v>
      </c>
      <c r="CF38" s="48">
        <f>CE38/(CE38+CD38)</f>
        <v>0.4182406231581638</v>
      </c>
      <c r="CG38" s="48">
        <f>IF(Data!$CB38="NA",".",Data!$CF38-(1-Data!$CF38))</f>
        <v>-0.1635187536836724</v>
      </c>
      <c r="CH38" s="1" t="s">
        <v>843</v>
      </c>
      <c r="CI38" s="17">
        <v>0</v>
      </c>
      <c r="CJ38" s="17">
        <v>1</v>
      </c>
      <c r="CK38" s="17">
        <v>0</v>
      </c>
      <c r="CL38" s="10" t="s">
        <v>303</v>
      </c>
      <c r="CM38" s="10" t="s">
        <v>298</v>
      </c>
      <c r="CN38" s="10" t="s">
        <v>299</v>
      </c>
      <c r="CO38" s="10" t="s">
        <v>450</v>
      </c>
      <c r="CP38" s="10" t="s">
        <v>299</v>
      </c>
      <c r="CQ38" s="10" t="s">
        <v>298</v>
      </c>
      <c r="CR38" s="10" t="s">
        <v>299</v>
      </c>
      <c r="CS38" s="10" t="s">
        <v>298</v>
      </c>
      <c r="CT38" s="10" t="s">
        <v>298</v>
      </c>
      <c r="CU38" s="10" t="s">
        <v>450</v>
      </c>
      <c r="CV38" s="10" t="s">
        <v>450</v>
      </c>
      <c r="CW38" s="10" t="s">
        <v>450</v>
      </c>
      <c r="CX38" s="10" t="s">
        <v>299</v>
      </c>
      <c r="CY38" s="10" t="s">
        <v>450</v>
      </c>
      <c r="CZ38" s="10" t="s">
        <v>766</v>
      </c>
      <c r="DA38" s="10" t="s">
        <v>298</v>
      </c>
      <c r="DB38" s="10" t="s">
        <v>298</v>
      </c>
      <c r="DC38" s="10" t="s">
        <v>298</v>
      </c>
      <c r="DD38" s="10" t="s">
        <v>450</v>
      </c>
      <c r="DE38" s="10" t="s">
        <v>299</v>
      </c>
      <c r="DF38" s="10" t="s">
        <v>298</v>
      </c>
      <c r="DG38" s="10" t="s">
        <v>298</v>
      </c>
      <c r="DH38" s="10" t="s">
        <v>298</v>
      </c>
      <c r="DI38" s="10" t="s">
        <v>298</v>
      </c>
      <c r="DJ38" s="1" t="s">
        <v>277</v>
      </c>
      <c r="DK38" s="1" t="s">
        <v>277</v>
      </c>
      <c r="DL38" s="1" t="s">
        <v>278</v>
      </c>
      <c r="DM38" s="1" t="s">
        <v>278</v>
      </c>
      <c r="DN38" s="48" t="s">
        <v>278</v>
      </c>
      <c r="DO38" s="48" t="s">
        <v>278</v>
      </c>
      <c r="DP38" s="1" t="s">
        <v>277</v>
      </c>
      <c r="DQ38" s="17" t="s">
        <v>278</v>
      </c>
      <c r="DR38" s="17" t="s">
        <v>278</v>
      </c>
      <c r="DS38" s="17" t="s">
        <v>278</v>
      </c>
      <c r="DT38" s="1" t="s">
        <v>277</v>
      </c>
      <c r="DU38" s="1" t="s">
        <v>277</v>
      </c>
      <c r="DV38" s="1" t="s">
        <v>277</v>
      </c>
      <c r="DW38" s="1" t="s">
        <v>277</v>
      </c>
      <c r="DX38" s="1" t="s">
        <v>277</v>
      </c>
      <c r="DY38" s="1" t="s">
        <v>277</v>
      </c>
      <c r="DZ38" s="1" t="s">
        <v>277</v>
      </c>
      <c r="EA38" s="1" t="s">
        <v>277</v>
      </c>
      <c r="EB38" s="1" t="s">
        <v>277</v>
      </c>
      <c r="EC38" s="1" t="s">
        <v>277</v>
      </c>
      <c r="ED38" s="1" t="s">
        <v>277</v>
      </c>
      <c r="EE38" s="1" t="s">
        <v>277</v>
      </c>
      <c r="EF38" s="1" t="s">
        <v>277</v>
      </c>
      <c r="EG38" s="1" t="s">
        <v>277</v>
      </c>
      <c r="EH38" s="1" t="s">
        <v>277</v>
      </c>
      <c r="EI38" s="1" t="s">
        <v>277</v>
      </c>
      <c r="EJ38" s="1" t="s">
        <v>277</v>
      </c>
      <c r="EK38" s="1" t="s">
        <v>277</v>
      </c>
      <c r="EL38" s="1" t="s">
        <v>277</v>
      </c>
      <c r="EM38" s="1" t="s">
        <v>277</v>
      </c>
      <c r="EN38" s="1" t="s">
        <v>277</v>
      </c>
      <c r="EO38" s="1" t="s">
        <v>277</v>
      </c>
      <c r="EP38" s="1" t="s">
        <v>277</v>
      </c>
      <c r="EQ38" s="1" t="s">
        <v>277</v>
      </c>
    </row>
    <row r="39" spans="1:147" s="1" customFormat="1" ht="15" customHeight="1">
      <c r="A39" s="30" t="s">
        <v>254</v>
      </c>
      <c r="B39" s="1">
        <v>36</v>
      </c>
      <c r="C39" s="1">
        <v>25</v>
      </c>
      <c r="D39" s="1">
        <v>2013</v>
      </c>
      <c r="E39" s="1" t="s">
        <v>844</v>
      </c>
      <c r="F39" s="1" t="s">
        <v>844</v>
      </c>
      <c r="G39" s="15">
        <v>2</v>
      </c>
      <c r="H39" s="15">
        <v>2</v>
      </c>
      <c r="I39" s="15">
        <v>1</v>
      </c>
      <c r="J39" s="1" t="s">
        <v>845</v>
      </c>
      <c r="K39" s="1" t="s">
        <v>369</v>
      </c>
      <c r="L39" s="1" t="s">
        <v>258</v>
      </c>
      <c r="M39" s="1" t="s">
        <v>846</v>
      </c>
      <c r="N39" s="1">
        <v>15</v>
      </c>
      <c r="O39" s="1" t="s">
        <v>847</v>
      </c>
      <c r="P39" s="1" t="s">
        <v>431</v>
      </c>
      <c r="Q39" s="1" t="s">
        <v>432</v>
      </c>
      <c r="R39" s="1" t="s">
        <v>1732</v>
      </c>
      <c r="S39" s="1" t="s">
        <v>263</v>
      </c>
      <c r="T39" s="1" t="s">
        <v>433</v>
      </c>
      <c r="U39" s="1" t="s">
        <v>265</v>
      </c>
      <c r="V39" s="1" t="s">
        <v>434</v>
      </c>
      <c r="W39" t="s">
        <v>435</v>
      </c>
      <c r="X39" s="10">
        <v>3.32</v>
      </c>
      <c r="Y39" s="10">
        <v>3.93</v>
      </c>
      <c r="Z39" s="10">
        <v>3.6</v>
      </c>
      <c r="AA39" s="10">
        <v>334</v>
      </c>
      <c r="AB39" s="1">
        <v>2009</v>
      </c>
      <c r="AC39" s="1">
        <v>2009</v>
      </c>
      <c r="AD39" s="1">
        <v>2009</v>
      </c>
      <c r="AE39" s="1">
        <v>11.4</v>
      </c>
      <c r="AF39" s="1" t="s">
        <v>269</v>
      </c>
      <c r="AG39" s="1" t="s">
        <v>270</v>
      </c>
      <c r="AH39" s="1" t="s">
        <v>848</v>
      </c>
      <c r="AI39" s="1" t="s">
        <v>272</v>
      </c>
      <c r="AJ39" t="s">
        <v>849</v>
      </c>
      <c r="AK39" s="1" t="s">
        <v>439</v>
      </c>
      <c r="AL39" s="1" t="s">
        <v>490</v>
      </c>
      <c r="AM39" s="1" t="s">
        <v>375</v>
      </c>
      <c r="AN39" s="10" t="s">
        <v>277</v>
      </c>
      <c r="AO39" s="17">
        <v>1</v>
      </c>
      <c r="AP39" s="17">
        <v>1</v>
      </c>
      <c r="AQ39" s="17">
        <v>4</v>
      </c>
      <c r="AR39" s="17">
        <v>2</v>
      </c>
      <c r="AS39" s="17">
        <v>4</v>
      </c>
      <c r="AT39" s="17">
        <v>249</v>
      </c>
      <c r="AU39" s="17">
        <v>249</v>
      </c>
      <c r="AV39" s="17" t="s">
        <v>278</v>
      </c>
      <c r="AW39" t="s">
        <v>850</v>
      </c>
      <c r="AX39" t="s">
        <v>851</v>
      </c>
      <c r="AY39" s="1" t="s">
        <v>330</v>
      </c>
      <c r="AZ39" s="1" t="s">
        <v>852</v>
      </c>
      <c r="BA39" t="s">
        <v>284</v>
      </c>
      <c r="BB39" s="1" t="s">
        <v>277</v>
      </c>
      <c r="BC39" s="2" t="s">
        <v>853</v>
      </c>
      <c r="BD39" s="7" t="s">
        <v>854</v>
      </c>
      <c r="BE39" s="3" t="s">
        <v>289</v>
      </c>
      <c r="BF39" s="1" t="s">
        <v>855</v>
      </c>
      <c r="BG39" s="3" t="s">
        <v>284</v>
      </c>
      <c r="BH39" s="2" t="s">
        <v>277</v>
      </c>
      <c r="BI39" s="2" t="s">
        <v>380</v>
      </c>
      <c r="BJ39" s="4" t="s">
        <v>856</v>
      </c>
      <c r="BK39" s="2" t="s">
        <v>382</v>
      </c>
      <c r="BL39" s="1" t="s">
        <v>857</v>
      </c>
      <c r="BM39" t="s">
        <v>289</v>
      </c>
      <c r="BN39" s="1" t="s">
        <v>858</v>
      </c>
      <c r="BO39" s="2" t="s">
        <v>626</v>
      </c>
      <c r="BP39" s="1" t="s">
        <v>859</v>
      </c>
      <c r="BQ39" s="2" t="s">
        <v>336</v>
      </c>
      <c r="BR39" s="1" t="s">
        <v>860</v>
      </c>
      <c r="BS39" s="2" t="s">
        <v>336</v>
      </c>
      <c r="BT39" s="14" t="s">
        <v>861</v>
      </c>
      <c r="BU39" s="2" t="s">
        <v>284</v>
      </c>
      <c r="BV39" s="2" t="s">
        <v>277</v>
      </c>
      <c r="BW39" s="1" t="s">
        <v>709</v>
      </c>
      <c r="BX39" s="1" t="s">
        <v>862</v>
      </c>
      <c r="BY39" s="2" t="s">
        <v>783</v>
      </c>
      <c r="BZ39" s="1" t="s">
        <v>863</v>
      </c>
      <c r="CA39" s="1" t="s">
        <v>864</v>
      </c>
      <c r="CB39" s="1" t="s">
        <v>865</v>
      </c>
      <c r="CC39" s="1" t="s">
        <v>866</v>
      </c>
      <c r="CD39" s="48">
        <f>(10.5+40.65)/2</f>
        <v>25.575</v>
      </c>
      <c r="CE39" s="48">
        <f>(16.35+32.5)/2</f>
        <v>24.425</v>
      </c>
      <c r="CF39" s="48">
        <f>CE39/(CE39+CD39)</f>
        <v>0.4885</v>
      </c>
      <c r="CG39" s="48">
        <f>IF(Data!$CB39="NA",".",Data!$CF39-(1-Data!$CF39))</f>
        <v>-0.023000000000000076</v>
      </c>
      <c r="CH39" s="1" t="s">
        <v>277</v>
      </c>
      <c r="CI39" s="17">
        <v>0</v>
      </c>
      <c r="CJ39" s="17">
        <v>1</v>
      </c>
      <c r="CK39" s="17">
        <v>0</v>
      </c>
      <c r="CL39" s="10" t="s">
        <v>303</v>
      </c>
      <c r="CM39" s="10" t="s">
        <v>298</v>
      </c>
      <c r="CN39" s="10" t="s">
        <v>299</v>
      </c>
      <c r="CO39" s="10" t="s">
        <v>299</v>
      </c>
      <c r="CP39" s="10" t="s">
        <v>299</v>
      </c>
      <c r="CQ39" s="10" t="s">
        <v>299</v>
      </c>
      <c r="CR39" s="10" t="s">
        <v>299</v>
      </c>
      <c r="CS39" s="10" t="s">
        <v>298</v>
      </c>
      <c r="CT39" s="10" t="s">
        <v>298</v>
      </c>
      <c r="CU39" s="10" t="s">
        <v>298</v>
      </c>
      <c r="CV39" s="10" t="s">
        <v>298</v>
      </c>
      <c r="CW39" s="10" t="s">
        <v>298</v>
      </c>
      <c r="CX39" s="10" t="s">
        <v>298</v>
      </c>
      <c r="CY39" s="10" t="s">
        <v>298</v>
      </c>
      <c r="CZ39" s="10" t="s">
        <v>298</v>
      </c>
      <c r="DA39" s="10" t="s">
        <v>299</v>
      </c>
      <c r="DB39" s="10" t="s">
        <v>298</v>
      </c>
      <c r="DC39" s="10" t="s">
        <v>298</v>
      </c>
      <c r="DD39" s="10" t="s">
        <v>298</v>
      </c>
      <c r="DE39" s="10" t="s">
        <v>298</v>
      </c>
      <c r="DF39" s="10" t="s">
        <v>298</v>
      </c>
      <c r="DG39" s="10" t="s">
        <v>299</v>
      </c>
      <c r="DH39" s="10" t="s">
        <v>298</v>
      </c>
      <c r="DI39" s="10" t="s">
        <v>298</v>
      </c>
      <c r="DJ39" s="1" t="s">
        <v>277</v>
      </c>
      <c r="DK39" s="1" t="s">
        <v>277</v>
      </c>
      <c r="DL39" s="1" t="s">
        <v>278</v>
      </c>
      <c r="DM39" s="1" t="s">
        <v>278</v>
      </c>
      <c r="DN39" s="48" t="s">
        <v>278</v>
      </c>
      <c r="DO39" s="48" t="s">
        <v>278</v>
      </c>
      <c r="DP39" s="1" t="s">
        <v>277</v>
      </c>
      <c r="DQ39" s="17" t="s">
        <v>278</v>
      </c>
      <c r="DR39" s="17" t="s">
        <v>278</v>
      </c>
      <c r="DS39" s="17" t="s">
        <v>278</v>
      </c>
      <c r="DT39" s="1" t="s">
        <v>277</v>
      </c>
      <c r="DU39" s="1" t="s">
        <v>277</v>
      </c>
      <c r="DV39" s="1" t="s">
        <v>277</v>
      </c>
      <c r="DW39" s="1" t="s">
        <v>277</v>
      </c>
      <c r="DX39" s="1" t="s">
        <v>277</v>
      </c>
      <c r="DY39" s="1" t="s">
        <v>277</v>
      </c>
      <c r="DZ39" s="1" t="s">
        <v>277</v>
      </c>
      <c r="EA39" s="1" t="s">
        <v>277</v>
      </c>
      <c r="EB39" s="1" t="s">
        <v>277</v>
      </c>
      <c r="EC39" s="1" t="s">
        <v>277</v>
      </c>
      <c r="ED39" s="1" t="s">
        <v>277</v>
      </c>
      <c r="EE39" s="1" t="s">
        <v>277</v>
      </c>
      <c r="EF39" s="1" t="s">
        <v>277</v>
      </c>
      <c r="EG39" s="1" t="s">
        <v>277</v>
      </c>
      <c r="EH39" s="1" t="s">
        <v>277</v>
      </c>
      <c r="EI39" s="1" t="s">
        <v>277</v>
      </c>
      <c r="EJ39" s="1" t="s">
        <v>277</v>
      </c>
      <c r="EK39" s="1" t="s">
        <v>277</v>
      </c>
      <c r="EL39" s="1" t="s">
        <v>277</v>
      </c>
      <c r="EM39" s="1" t="s">
        <v>277</v>
      </c>
      <c r="EN39" s="1" t="s">
        <v>277</v>
      </c>
      <c r="EO39" s="1" t="s">
        <v>277</v>
      </c>
      <c r="EP39" s="1" t="s">
        <v>277</v>
      </c>
      <c r="EQ39" s="1" t="s">
        <v>277</v>
      </c>
    </row>
    <row r="40" spans="1:147" s="1" customFormat="1" ht="15" customHeight="1">
      <c r="A40" s="30" t="s">
        <v>254</v>
      </c>
      <c r="B40" s="1">
        <v>37</v>
      </c>
      <c r="C40" s="1">
        <v>26</v>
      </c>
      <c r="D40" s="1">
        <v>1999</v>
      </c>
      <c r="E40" s="1" t="s">
        <v>867</v>
      </c>
      <c r="F40" s="1" t="s">
        <v>867</v>
      </c>
      <c r="G40" s="15">
        <v>2</v>
      </c>
      <c r="H40" s="15">
        <v>2</v>
      </c>
      <c r="I40" s="15">
        <v>1</v>
      </c>
      <c r="J40" s="1" t="s">
        <v>868</v>
      </c>
      <c r="K40" s="1" t="s">
        <v>369</v>
      </c>
      <c r="L40" s="1" t="s">
        <v>258</v>
      </c>
      <c r="M40" s="1" t="s">
        <v>869</v>
      </c>
      <c r="N40" s="1">
        <v>87</v>
      </c>
      <c r="O40" s="1" t="s">
        <v>501</v>
      </c>
      <c r="P40" s="1" t="s">
        <v>502</v>
      </c>
      <c r="Q40" s="1" t="s">
        <v>870</v>
      </c>
      <c r="S40" s="1" t="s">
        <v>263</v>
      </c>
      <c r="T40" s="1" t="s">
        <v>264</v>
      </c>
      <c r="U40" s="1" t="s">
        <v>265</v>
      </c>
      <c r="V40" s="1" t="s">
        <v>503</v>
      </c>
      <c r="W40" t="s">
        <v>267</v>
      </c>
      <c r="X40" s="10">
        <v>17.67</v>
      </c>
      <c r="Y40" s="10">
        <v>3.93</v>
      </c>
      <c r="Z40" s="10">
        <v>2.35</v>
      </c>
      <c r="AA40" s="10">
        <v>295</v>
      </c>
      <c r="AB40" s="1">
        <v>1993</v>
      </c>
      <c r="AC40" s="1">
        <v>1993</v>
      </c>
      <c r="AD40" s="1">
        <v>1993</v>
      </c>
      <c r="AE40" s="1">
        <v>13.3</v>
      </c>
      <c r="AF40" s="1" t="s">
        <v>269</v>
      </c>
      <c r="AG40" s="1" t="s">
        <v>270</v>
      </c>
      <c r="AH40" s="1" t="s">
        <v>871</v>
      </c>
      <c r="AI40" s="1" t="s">
        <v>605</v>
      </c>
      <c r="AJ40" s="1" t="s">
        <v>277</v>
      </c>
      <c r="AK40" s="1" t="s">
        <v>606</v>
      </c>
      <c r="AL40" s="1" t="s">
        <v>872</v>
      </c>
      <c r="AM40" s="1" t="s">
        <v>873</v>
      </c>
      <c r="AN40" s="10" t="s">
        <v>277</v>
      </c>
      <c r="AO40" s="17">
        <v>1</v>
      </c>
      <c r="AP40" s="17">
        <v>1</v>
      </c>
      <c r="AQ40" s="17">
        <v>5</v>
      </c>
      <c r="AR40" s="17">
        <v>2</v>
      </c>
      <c r="AS40" s="17">
        <v>2</v>
      </c>
      <c r="AT40" s="17" t="s">
        <v>278</v>
      </c>
      <c r="AU40" s="17">
        <v>275</v>
      </c>
      <c r="AV40" s="17" t="s">
        <v>278</v>
      </c>
      <c r="AW40" t="s">
        <v>874</v>
      </c>
      <c r="AX40" t="s">
        <v>875</v>
      </c>
      <c r="AY40" s="1" t="s">
        <v>284</v>
      </c>
      <c r="AZ40" s="1" t="s">
        <v>277</v>
      </c>
      <c r="BA40" t="s">
        <v>284</v>
      </c>
      <c r="BB40" s="2" t="s">
        <v>277</v>
      </c>
      <c r="BC40" s="2" t="s">
        <v>284</v>
      </c>
      <c r="BD40" s="2" t="s">
        <v>277</v>
      </c>
      <c r="BE40" s="3" t="s">
        <v>284</v>
      </c>
      <c r="BF40" s="2" t="s">
        <v>277</v>
      </c>
      <c r="BG40" s="3" t="s">
        <v>284</v>
      </c>
      <c r="BH40" s="2" t="s">
        <v>277</v>
      </c>
      <c r="BI40" s="2" t="s">
        <v>284</v>
      </c>
      <c r="BJ40" s="1" t="s">
        <v>277</v>
      </c>
      <c r="BK40" s="2" t="s">
        <v>284</v>
      </c>
      <c r="BL40" s="2" t="s">
        <v>277</v>
      </c>
      <c r="BM40" t="s">
        <v>284</v>
      </c>
      <c r="BN40" s="2" t="s">
        <v>277</v>
      </c>
      <c r="BO40" s="2" t="s">
        <v>284</v>
      </c>
      <c r="BP40" s="2" t="s">
        <v>277</v>
      </c>
      <c r="BQ40" s="2" t="s">
        <v>362</v>
      </c>
      <c r="BR40" s="1" t="s">
        <v>277</v>
      </c>
      <c r="BS40" s="2" t="s">
        <v>362</v>
      </c>
      <c r="BT40" s="2" t="s">
        <v>277</v>
      </c>
      <c r="BU40" s="2" t="s">
        <v>284</v>
      </c>
      <c r="BV40" s="2" t="s">
        <v>277</v>
      </c>
      <c r="BW40" s="1" t="s">
        <v>284</v>
      </c>
      <c r="BX40" s="1" t="s">
        <v>277</v>
      </c>
      <c r="BY40" s="2" t="s">
        <v>284</v>
      </c>
      <c r="BZ40" s="2" t="s">
        <v>277</v>
      </c>
      <c r="CA40" s="1" t="s">
        <v>876</v>
      </c>
      <c r="CB40" s="1" t="s">
        <v>277</v>
      </c>
      <c r="CC40" s="1" t="s">
        <v>277</v>
      </c>
      <c r="CD40" s="1" t="s">
        <v>278</v>
      </c>
      <c r="CE40" s="1" t="s">
        <v>278</v>
      </c>
      <c r="CF40" s="1" t="s">
        <v>278</v>
      </c>
      <c r="CG40" s="48" t="str">
        <f>IF(Data!$CB40="NA",".",Data!$CF40-(1-Data!$CF40))</f>
        <v>.</v>
      </c>
      <c r="CH40" s="1" t="s">
        <v>277</v>
      </c>
      <c r="CI40" s="17" t="s">
        <v>278</v>
      </c>
      <c r="CJ40" s="17" t="s">
        <v>278</v>
      </c>
      <c r="CK40" s="17" t="s">
        <v>278</v>
      </c>
      <c r="CL40" s="1" t="s">
        <v>277</v>
      </c>
      <c r="CM40" s="1" t="s">
        <v>277</v>
      </c>
      <c r="CN40" s="1" t="s">
        <v>277</v>
      </c>
      <c r="CO40" s="1" t="s">
        <v>277</v>
      </c>
      <c r="CP40" s="1" t="s">
        <v>277</v>
      </c>
      <c r="CQ40" s="1" t="s">
        <v>277</v>
      </c>
      <c r="CR40" s="1" t="s">
        <v>277</v>
      </c>
      <c r="CS40" s="1" t="s">
        <v>277</v>
      </c>
      <c r="CT40" s="1" t="s">
        <v>277</v>
      </c>
      <c r="CU40" s="1" t="s">
        <v>277</v>
      </c>
      <c r="CV40" s="1" t="s">
        <v>277</v>
      </c>
      <c r="CW40" s="1" t="s">
        <v>277</v>
      </c>
      <c r="CX40" s="1" t="s">
        <v>277</v>
      </c>
      <c r="CY40" s="1" t="s">
        <v>277</v>
      </c>
      <c r="CZ40" s="1" t="s">
        <v>277</v>
      </c>
      <c r="DA40" s="1" t="s">
        <v>277</v>
      </c>
      <c r="DB40" s="1" t="s">
        <v>277</v>
      </c>
      <c r="DC40" s="1" t="s">
        <v>277</v>
      </c>
      <c r="DD40" s="1" t="s">
        <v>277</v>
      </c>
      <c r="DE40" s="1" t="s">
        <v>277</v>
      </c>
      <c r="DF40" s="1" t="s">
        <v>277</v>
      </c>
      <c r="DG40" s="1" t="s">
        <v>277</v>
      </c>
      <c r="DH40" s="1" t="s">
        <v>277</v>
      </c>
      <c r="DI40" s="1" t="s">
        <v>277</v>
      </c>
      <c r="DJ40" s="1" t="s">
        <v>277</v>
      </c>
      <c r="DK40" s="1" t="s">
        <v>277</v>
      </c>
      <c r="DL40" s="1" t="s">
        <v>278</v>
      </c>
      <c r="DM40" s="1" t="s">
        <v>278</v>
      </c>
      <c r="DN40" s="48" t="s">
        <v>278</v>
      </c>
      <c r="DO40" s="48" t="s">
        <v>278</v>
      </c>
      <c r="DP40" s="1" t="s">
        <v>277</v>
      </c>
      <c r="DQ40" s="17" t="s">
        <v>278</v>
      </c>
      <c r="DR40" s="17" t="s">
        <v>278</v>
      </c>
      <c r="DS40" s="17" t="s">
        <v>278</v>
      </c>
      <c r="DT40" s="1" t="s">
        <v>277</v>
      </c>
      <c r="DU40" s="1" t="s">
        <v>277</v>
      </c>
      <c r="DV40" s="1" t="s">
        <v>277</v>
      </c>
      <c r="DW40" s="1" t="s">
        <v>277</v>
      </c>
      <c r="DX40" s="1" t="s">
        <v>277</v>
      </c>
      <c r="DY40" s="1" t="s">
        <v>277</v>
      </c>
      <c r="DZ40" s="1" t="s">
        <v>277</v>
      </c>
      <c r="EA40" s="1" t="s">
        <v>277</v>
      </c>
      <c r="EB40" s="1" t="s">
        <v>277</v>
      </c>
      <c r="EC40" s="1" t="s">
        <v>277</v>
      </c>
      <c r="ED40" s="1" t="s">
        <v>277</v>
      </c>
      <c r="EE40" s="1" t="s">
        <v>277</v>
      </c>
      <c r="EF40" s="1" t="s">
        <v>277</v>
      </c>
      <c r="EG40" s="1" t="s">
        <v>277</v>
      </c>
      <c r="EH40" s="1" t="s">
        <v>277</v>
      </c>
      <c r="EI40" s="1" t="s">
        <v>277</v>
      </c>
      <c r="EJ40" s="1" t="s">
        <v>277</v>
      </c>
      <c r="EK40" s="1" t="s">
        <v>277</v>
      </c>
      <c r="EL40" s="1" t="s">
        <v>277</v>
      </c>
      <c r="EM40" s="1" t="s">
        <v>277</v>
      </c>
      <c r="EN40" s="1" t="s">
        <v>277</v>
      </c>
      <c r="EO40" s="1" t="s">
        <v>277</v>
      </c>
      <c r="EP40" s="1" t="s">
        <v>277</v>
      </c>
      <c r="EQ40" s="1" t="s">
        <v>277</v>
      </c>
    </row>
    <row r="41" spans="1:147" s="1" customFormat="1" ht="15" customHeight="1">
      <c r="A41" s="30" t="s">
        <v>254</v>
      </c>
      <c r="B41" s="1">
        <v>38</v>
      </c>
      <c r="C41" s="1">
        <v>27</v>
      </c>
      <c r="D41" s="1">
        <v>2000</v>
      </c>
      <c r="E41" s="1" t="s">
        <v>877</v>
      </c>
      <c r="F41" s="1" t="s">
        <v>877</v>
      </c>
      <c r="G41" s="15">
        <v>2</v>
      </c>
      <c r="H41" s="15">
        <v>2</v>
      </c>
      <c r="I41" s="15">
        <v>1</v>
      </c>
      <c r="J41" s="1" t="s">
        <v>878</v>
      </c>
      <c r="K41" s="1" t="s">
        <v>879</v>
      </c>
      <c r="L41" s="1" t="s">
        <v>258</v>
      </c>
      <c r="M41" s="1" t="s">
        <v>880</v>
      </c>
      <c r="N41" s="1">
        <v>57</v>
      </c>
      <c r="O41" s="1" t="s">
        <v>501</v>
      </c>
      <c r="P41" s="1" t="s">
        <v>502</v>
      </c>
      <c r="Q41" s="1" t="s">
        <v>870</v>
      </c>
      <c r="R41" s="1" t="s">
        <v>1737</v>
      </c>
      <c r="S41" s="1" t="s">
        <v>263</v>
      </c>
      <c r="T41" s="1" t="s">
        <v>264</v>
      </c>
      <c r="U41" s="1" t="s">
        <v>265</v>
      </c>
      <c r="V41" s="1" t="s">
        <v>503</v>
      </c>
      <c r="W41" t="s">
        <v>267</v>
      </c>
      <c r="X41" s="10">
        <v>17.67</v>
      </c>
      <c r="Y41" s="10">
        <v>3.93</v>
      </c>
      <c r="Z41" s="10">
        <v>2.35</v>
      </c>
      <c r="AA41" s="10">
        <v>295</v>
      </c>
      <c r="AB41" s="1">
        <v>1993</v>
      </c>
      <c r="AC41" s="1">
        <v>1993</v>
      </c>
      <c r="AD41" s="1">
        <v>1993</v>
      </c>
      <c r="AE41" s="1">
        <v>13.3</v>
      </c>
      <c r="AF41" s="1" t="s">
        <v>269</v>
      </c>
      <c r="AG41" s="1" t="s">
        <v>270</v>
      </c>
      <c r="AH41" s="1" t="s">
        <v>881</v>
      </c>
      <c r="AI41" s="1" t="s">
        <v>605</v>
      </c>
      <c r="AJ41" s="1" t="s">
        <v>277</v>
      </c>
      <c r="AK41" s="1" t="s">
        <v>606</v>
      </c>
      <c r="AL41" s="1" t="s">
        <v>882</v>
      </c>
      <c r="AM41" s="1" t="s">
        <v>873</v>
      </c>
      <c r="AN41" s="10" t="s">
        <v>277</v>
      </c>
      <c r="AO41" s="17">
        <v>1</v>
      </c>
      <c r="AP41" s="17">
        <v>1</v>
      </c>
      <c r="AQ41" s="17">
        <v>5</v>
      </c>
      <c r="AR41" s="17">
        <v>2</v>
      </c>
      <c r="AS41" s="17">
        <v>2</v>
      </c>
      <c r="AT41" s="17">
        <v>27</v>
      </c>
      <c r="AU41" s="17" t="s">
        <v>278</v>
      </c>
      <c r="AV41" s="17" t="s">
        <v>278</v>
      </c>
      <c r="AW41" t="s">
        <v>883</v>
      </c>
      <c r="AX41" t="s">
        <v>884</v>
      </c>
      <c r="AY41" s="1" t="s">
        <v>284</v>
      </c>
      <c r="AZ41" s="1" t="s">
        <v>277</v>
      </c>
      <c r="BA41" t="s">
        <v>284</v>
      </c>
      <c r="BB41" s="2" t="s">
        <v>277</v>
      </c>
      <c r="BC41" s="2" t="s">
        <v>284</v>
      </c>
      <c r="BD41" s="2" t="s">
        <v>277</v>
      </c>
      <c r="BE41" s="3" t="s">
        <v>284</v>
      </c>
      <c r="BF41" s="2" t="s">
        <v>277</v>
      </c>
      <c r="BG41" s="3" t="s">
        <v>284</v>
      </c>
      <c r="BH41" s="2" t="s">
        <v>277</v>
      </c>
      <c r="BI41" s="2" t="s">
        <v>284</v>
      </c>
      <c r="BJ41" s="1" t="s">
        <v>277</v>
      </c>
      <c r="BK41" s="2" t="s">
        <v>284</v>
      </c>
      <c r="BL41" s="2" t="s">
        <v>277</v>
      </c>
      <c r="BM41" t="s">
        <v>284</v>
      </c>
      <c r="BN41" s="2" t="s">
        <v>277</v>
      </c>
      <c r="BO41" s="2" t="s">
        <v>284</v>
      </c>
      <c r="BP41" s="2" t="s">
        <v>277</v>
      </c>
      <c r="BQ41" s="2" t="s">
        <v>362</v>
      </c>
      <c r="BR41" s="1" t="s">
        <v>277</v>
      </c>
      <c r="BS41" s="2" t="s">
        <v>362</v>
      </c>
      <c r="BT41" s="2" t="s">
        <v>277</v>
      </c>
      <c r="BU41" s="2" t="s">
        <v>284</v>
      </c>
      <c r="BV41" s="2" t="s">
        <v>277</v>
      </c>
      <c r="BW41" s="1" t="s">
        <v>284</v>
      </c>
      <c r="BX41" s="1" t="s">
        <v>885</v>
      </c>
      <c r="BY41" s="2" t="s">
        <v>289</v>
      </c>
      <c r="BZ41" s="1" t="s">
        <v>886</v>
      </c>
      <c r="CA41" s="1" t="s">
        <v>887</v>
      </c>
      <c r="CB41" s="1" t="s">
        <v>888</v>
      </c>
      <c r="CC41" s="1" t="s">
        <v>889</v>
      </c>
      <c r="CD41" s="48">
        <f>AVERAGE(155.2,119.9)</f>
        <v>137.55</v>
      </c>
      <c r="CE41" s="48">
        <f>AVERAGE(171.3,125.6)</f>
        <v>148.45</v>
      </c>
      <c r="CF41" s="48">
        <f>CE41/(CE41+CD41)</f>
        <v>0.519055944055944</v>
      </c>
      <c r="CG41" s="48">
        <f>IF(Data!$CB41="NA",".",Data!$CF41-(1-Data!$CF41))</f>
        <v>0.03811188811188804</v>
      </c>
      <c r="CH41" s="1" t="s">
        <v>277</v>
      </c>
      <c r="CI41" s="17">
        <v>0</v>
      </c>
      <c r="CJ41" s="17">
        <v>1</v>
      </c>
      <c r="CK41" s="17">
        <v>1</v>
      </c>
      <c r="CL41" s="10" t="s">
        <v>303</v>
      </c>
      <c r="CM41" s="10" t="s">
        <v>298</v>
      </c>
      <c r="CN41" s="10" t="s">
        <v>299</v>
      </c>
      <c r="CO41" s="10" t="s">
        <v>299</v>
      </c>
      <c r="CP41" s="10" t="s">
        <v>299</v>
      </c>
      <c r="CQ41" s="10" t="s">
        <v>299</v>
      </c>
      <c r="CR41" s="10" t="s">
        <v>299</v>
      </c>
      <c r="CS41" s="10" t="s">
        <v>298</v>
      </c>
      <c r="CT41" s="10" t="s">
        <v>366</v>
      </c>
      <c r="CU41" s="10" t="s">
        <v>298</v>
      </c>
      <c r="CV41" s="10" t="s">
        <v>298</v>
      </c>
      <c r="CW41" s="10" t="s">
        <v>298</v>
      </c>
      <c r="CX41" s="10" t="s">
        <v>298</v>
      </c>
      <c r="CY41" s="10" t="s">
        <v>298</v>
      </c>
      <c r="CZ41" s="10" t="s">
        <v>300</v>
      </c>
      <c r="DA41" s="10" t="s">
        <v>298</v>
      </c>
      <c r="DB41" s="10" t="s">
        <v>298</v>
      </c>
      <c r="DC41" s="10" t="s">
        <v>298</v>
      </c>
      <c r="DD41" s="10" t="s">
        <v>298</v>
      </c>
      <c r="DE41" s="10" t="s">
        <v>298</v>
      </c>
      <c r="DF41" s="10" t="s">
        <v>298</v>
      </c>
      <c r="DG41" s="10" t="s">
        <v>298</v>
      </c>
      <c r="DH41" s="10" t="s">
        <v>298</v>
      </c>
      <c r="DI41" s="10" t="s">
        <v>298</v>
      </c>
      <c r="DJ41" s="1" t="s">
        <v>277</v>
      </c>
      <c r="DK41" s="1" t="s">
        <v>277</v>
      </c>
      <c r="DL41" s="1" t="s">
        <v>278</v>
      </c>
      <c r="DM41" s="1" t="s">
        <v>278</v>
      </c>
      <c r="DN41" s="48" t="s">
        <v>278</v>
      </c>
      <c r="DO41" s="48" t="s">
        <v>278</v>
      </c>
      <c r="DP41" s="1" t="s">
        <v>277</v>
      </c>
      <c r="DQ41" s="17" t="s">
        <v>278</v>
      </c>
      <c r="DR41" s="17" t="s">
        <v>278</v>
      </c>
      <c r="DS41" s="17" t="s">
        <v>278</v>
      </c>
      <c r="DT41" s="1" t="s">
        <v>277</v>
      </c>
      <c r="DU41" s="1" t="s">
        <v>277</v>
      </c>
      <c r="DV41" s="1" t="s">
        <v>277</v>
      </c>
      <c r="DW41" s="1" t="s">
        <v>277</v>
      </c>
      <c r="DX41" s="1" t="s">
        <v>277</v>
      </c>
      <c r="DY41" s="1" t="s">
        <v>277</v>
      </c>
      <c r="DZ41" s="1" t="s">
        <v>277</v>
      </c>
      <c r="EA41" s="1" t="s">
        <v>277</v>
      </c>
      <c r="EB41" s="1" t="s">
        <v>277</v>
      </c>
      <c r="EC41" s="1" t="s">
        <v>277</v>
      </c>
      <c r="ED41" s="1" t="s">
        <v>277</v>
      </c>
      <c r="EE41" s="1" t="s">
        <v>277</v>
      </c>
      <c r="EF41" s="1" t="s">
        <v>277</v>
      </c>
      <c r="EG41" s="1" t="s">
        <v>277</v>
      </c>
      <c r="EH41" s="1" t="s">
        <v>277</v>
      </c>
      <c r="EI41" s="1" t="s">
        <v>277</v>
      </c>
      <c r="EJ41" s="1" t="s">
        <v>277</v>
      </c>
      <c r="EK41" s="1" t="s">
        <v>277</v>
      </c>
      <c r="EL41" s="1" t="s">
        <v>277</v>
      </c>
      <c r="EM41" s="1" t="s">
        <v>277</v>
      </c>
      <c r="EN41" s="1" t="s">
        <v>277</v>
      </c>
      <c r="EO41" s="1" t="s">
        <v>277</v>
      </c>
      <c r="EP41" s="1" t="s">
        <v>277</v>
      </c>
      <c r="EQ41" s="1" t="s">
        <v>277</v>
      </c>
    </row>
    <row r="42" spans="1:147" s="1" customFormat="1" ht="15" customHeight="1">
      <c r="A42" s="30" t="s">
        <v>254</v>
      </c>
      <c r="B42" s="1">
        <v>39</v>
      </c>
      <c r="C42" s="1">
        <v>28</v>
      </c>
      <c r="D42" s="1">
        <v>2003</v>
      </c>
      <c r="E42" s="1" t="s">
        <v>890</v>
      </c>
      <c r="F42" s="1" t="s">
        <v>890</v>
      </c>
      <c r="G42" s="15">
        <v>2</v>
      </c>
      <c r="H42" s="15">
        <v>2</v>
      </c>
      <c r="I42" s="15">
        <v>1</v>
      </c>
      <c r="J42" s="1" t="s">
        <v>891</v>
      </c>
      <c r="K42" s="1" t="s">
        <v>892</v>
      </c>
      <c r="L42" s="1" t="s">
        <v>258</v>
      </c>
      <c r="M42" s="1" t="s">
        <v>893</v>
      </c>
      <c r="N42" s="1">
        <v>95</v>
      </c>
      <c r="O42" s="1" t="s">
        <v>501</v>
      </c>
      <c r="P42" s="1" t="s">
        <v>502</v>
      </c>
      <c r="Q42" s="1" t="s">
        <v>870</v>
      </c>
      <c r="S42" s="1" t="s">
        <v>263</v>
      </c>
      <c r="T42" s="1" t="s">
        <v>264</v>
      </c>
      <c r="U42" s="1" t="s">
        <v>265</v>
      </c>
      <c r="V42" s="1" t="s">
        <v>503</v>
      </c>
      <c r="W42" t="s">
        <v>267</v>
      </c>
      <c r="X42" s="10">
        <v>17.67</v>
      </c>
      <c r="Y42" s="10">
        <v>3.93</v>
      </c>
      <c r="Z42" s="10">
        <v>2.35</v>
      </c>
      <c r="AA42" s="10">
        <v>295</v>
      </c>
      <c r="AB42" s="1" t="s">
        <v>894</v>
      </c>
      <c r="AC42" s="1">
        <v>1993</v>
      </c>
      <c r="AD42" s="1">
        <v>2000</v>
      </c>
      <c r="AE42" s="1">
        <v>13.3</v>
      </c>
      <c r="AF42" s="1" t="s">
        <v>269</v>
      </c>
      <c r="AG42" s="1" t="s">
        <v>270</v>
      </c>
      <c r="AH42" s="1" t="s">
        <v>895</v>
      </c>
      <c r="AI42" s="1" t="s">
        <v>605</v>
      </c>
      <c r="AJ42" s="1" t="s">
        <v>277</v>
      </c>
      <c r="AK42" s="1" t="s">
        <v>606</v>
      </c>
      <c r="AL42" s="1" t="s">
        <v>872</v>
      </c>
      <c r="AM42" s="1" t="s">
        <v>873</v>
      </c>
      <c r="AN42" s="10" t="s">
        <v>277</v>
      </c>
      <c r="AO42" s="17">
        <v>1</v>
      </c>
      <c r="AP42" s="17">
        <v>3</v>
      </c>
      <c r="AQ42" s="17">
        <v>10</v>
      </c>
      <c r="AR42" s="17">
        <v>3</v>
      </c>
      <c r="AS42" s="17">
        <v>2</v>
      </c>
      <c r="AT42" s="17" t="s">
        <v>278</v>
      </c>
      <c r="AU42" s="17" t="s">
        <v>278</v>
      </c>
      <c r="AV42" s="17" t="s">
        <v>278</v>
      </c>
      <c r="AW42" t="s">
        <v>874</v>
      </c>
      <c r="AX42" t="s">
        <v>875</v>
      </c>
      <c r="AY42" s="1" t="s">
        <v>284</v>
      </c>
      <c r="AZ42" s="1" t="s">
        <v>277</v>
      </c>
      <c r="BA42" t="s">
        <v>284</v>
      </c>
      <c r="BB42" s="2" t="s">
        <v>277</v>
      </c>
      <c r="BC42" s="2" t="s">
        <v>284</v>
      </c>
      <c r="BD42" s="2" t="s">
        <v>277</v>
      </c>
      <c r="BE42" s="3" t="s">
        <v>284</v>
      </c>
      <c r="BF42" s="2" t="s">
        <v>277</v>
      </c>
      <c r="BG42" s="3" t="s">
        <v>284</v>
      </c>
      <c r="BH42" s="2" t="s">
        <v>277</v>
      </c>
      <c r="BI42" s="2" t="s">
        <v>284</v>
      </c>
      <c r="BJ42" s="1" t="s">
        <v>277</v>
      </c>
      <c r="BK42" s="2" t="s">
        <v>284</v>
      </c>
      <c r="BL42" s="2" t="s">
        <v>277</v>
      </c>
      <c r="BM42" t="s">
        <v>284</v>
      </c>
      <c r="BN42" s="2" t="s">
        <v>277</v>
      </c>
      <c r="BO42" s="2" t="s">
        <v>284</v>
      </c>
      <c r="BP42" s="2" t="s">
        <v>277</v>
      </c>
      <c r="BQ42" s="2" t="s">
        <v>362</v>
      </c>
      <c r="BR42" s="1" t="s">
        <v>277</v>
      </c>
      <c r="BS42" s="2" t="s">
        <v>362</v>
      </c>
      <c r="BT42" s="2" t="s">
        <v>277</v>
      </c>
      <c r="BU42" s="2" t="s">
        <v>284</v>
      </c>
      <c r="BV42" s="2" t="s">
        <v>277</v>
      </c>
      <c r="BW42" s="1" t="s">
        <v>284</v>
      </c>
      <c r="BX42" s="1" t="s">
        <v>277</v>
      </c>
      <c r="BY42" s="2" t="s">
        <v>284</v>
      </c>
      <c r="BZ42" s="2" t="s">
        <v>277</v>
      </c>
      <c r="CA42" s="1" t="s">
        <v>896</v>
      </c>
      <c r="CB42" s="1" t="s">
        <v>277</v>
      </c>
      <c r="CC42" s="1" t="s">
        <v>277</v>
      </c>
      <c r="CD42" s="5" t="s">
        <v>278</v>
      </c>
      <c r="CE42" s="5" t="s">
        <v>278</v>
      </c>
      <c r="CF42" s="5" t="s">
        <v>278</v>
      </c>
      <c r="CG42" s="48" t="str">
        <f>IF(Data!$CB42="NA",".",Data!$CF42-(1-Data!$CF42))</f>
        <v>.</v>
      </c>
      <c r="CH42" s="1" t="s">
        <v>277</v>
      </c>
      <c r="CI42" s="17" t="s">
        <v>278</v>
      </c>
      <c r="CJ42" s="17" t="s">
        <v>278</v>
      </c>
      <c r="CK42" s="17" t="s">
        <v>278</v>
      </c>
      <c r="CL42" s="1" t="s">
        <v>277</v>
      </c>
      <c r="CM42" s="1" t="s">
        <v>277</v>
      </c>
      <c r="CN42" s="1" t="s">
        <v>277</v>
      </c>
      <c r="CO42" s="1" t="s">
        <v>277</v>
      </c>
      <c r="CP42" s="1" t="s">
        <v>277</v>
      </c>
      <c r="CQ42" s="1" t="s">
        <v>277</v>
      </c>
      <c r="CR42" s="1" t="s">
        <v>277</v>
      </c>
      <c r="CS42" s="1" t="s">
        <v>277</v>
      </c>
      <c r="CT42" s="1" t="s">
        <v>277</v>
      </c>
      <c r="CU42" s="1" t="s">
        <v>277</v>
      </c>
      <c r="CV42" s="1" t="s">
        <v>277</v>
      </c>
      <c r="CW42" s="1" t="s">
        <v>277</v>
      </c>
      <c r="CX42" s="1" t="s">
        <v>277</v>
      </c>
      <c r="CY42" s="1" t="s">
        <v>277</v>
      </c>
      <c r="CZ42" s="1" t="s">
        <v>277</v>
      </c>
      <c r="DA42" s="1" t="s">
        <v>277</v>
      </c>
      <c r="DB42" s="1" t="s">
        <v>277</v>
      </c>
      <c r="DC42" s="1" t="s">
        <v>277</v>
      </c>
      <c r="DD42" s="1" t="s">
        <v>277</v>
      </c>
      <c r="DE42" s="1" t="s">
        <v>277</v>
      </c>
      <c r="DF42" s="1" t="s">
        <v>277</v>
      </c>
      <c r="DG42" s="1" t="s">
        <v>277</v>
      </c>
      <c r="DH42" s="1" t="s">
        <v>277</v>
      </c>
      <c r="DI42" s="1" t="s">
        <v>277</v>
      </c>
      <c r="DJ42" s="1" t="s">
        <v>277</v>
      </c>
      <c r="DK42" s="1" t="s">
        <v>277</v>
      </c>
      <c r="DL42" s="1" t="s">
        <v>278</v>
      </c>
      <c r="DM42" s="1" t="s">
        <v>278</v>
      </c>
      <c r="DN42" s="48" t="s">
        <v>278</v>
      </c>
      <c r="DO42" s="48" t="s">
        <v>278</v>
      </c>
      <c r="DP42" s="1" t="s">
        <v>277</v>
      </c>
      <c r="DQ42" s="17" t="s">
        <v>278</v>
      </c>
      <c r="DR42" s="17" t="s">
        <v>278</v>
      </c>
      <c r="DS42" s="17" t="s">
        <v>278</v>
      </c>
      <c r="DT42" s="1" t="s">
        <v>277</v>
      </c>
      <c r="DU42" s="1" t="s">
        <v>277</v>
      </c>
      <c r="DV42" s="1" t="s">
        <v>277</v>
      </c>
      <c r="DW42" s="1" t="s">
        <v>277</v>
      </c>
      <c r="DX42" s="1" t="s">
        <v>277</v>
      </c>
      <c r="DY42" s="1" t="s">
        <v>277</v>
      </c>
      <c r="DZ42" s="1" t="s">
        <v>277</v>
      </c>
      <c r="EA42" s="1" t="s">
        <v>277</v>
      </c>
      <c r="EB42" s="1" t="s">
        <v>277</v>
      </c>
      <c r="EC42" s="1" t="s">
        <v>277</v>
      </c>
      <c r="ED42" s="1" t="s">
        <v>277</v>
      </c>
      <c r="EE42" s="1" t="s">
        <v>277</v>
      </c>
      <c r="EF42" s="1" t="s">
        <v>277</v>
      </c>
      <c r="EG42" s="1" t="s">
        <v>277</v>
      </c>
      <c r="EH42" s="1" t="s">
        <v>277</v>
      </c>
      <c r="EI42" s="1" t="s">
        <v>277</v>
      </c>
      <c r="EJ42" s="1" t="s">
        <v>277</v>
      </c>
      <c r="EK42" s="1" t="s">
        <v>277</v>
      </c>
      <c r="EL42" s="1" t="s">
        <v>277</v>
      </c>
      <c r="EM42" s="1" t="s">
        <v>277</v>
      </c>
      <c r="EN42" s="1" t="s">
        <v>277</v>
      </c>
      <c r="EO42" s="1" t="s">
        <v>277</v>
      </c>
      <c r="EP42" s="1" t="s">
        <v>277</v>
      </c>
      <c r="EQ42" s="1" t="s">
        <v>277</v>
      </c>
    </row>
    <row r="43" spans="1:147" s="1" customFormat="1" ht="15" customHeight="1">
      <c r="A43" s="30" t="s">
        <v>254</v>
      </c>
      <c r="B43" s="1">
        <v>40</v>
      </c>
      <c r="C43" s="1">
        <v>29</v>
      </c>
      <c r="D43" s="1">
        <v>2003</v>
      </c>
      <c r="E43" s="1" t="s">
        <v>897</v>
      </c>
      <c r="F43" s="1" t="s">
        <v>897</v>
      </c>
      <c r="G43" s="15">
        <v>2</v>
      </c>
      <c r="H43" s="15">
        <v>2</v>
      </c>
      <c r="I43" s="15">
        <v>1</v>
      </c>
      <c r="J43" s="1" t="s">
        <v>898</v>
      </c>
      <c r="K43" s="1" t="s">
        <v>343</v>
      </c>
      <c r="L43" s="1" t="s">
        <v>258</v>
      </c>
      <c r="M43" s="1" t="s">
        <v>899</v>
      </c>
      <c r="N43" s="1">
        <v>141</v>
      </c>
      <c r="O43" s="1" t="s">
        <v>501</v>
      </c>
      <c r="P43" s="1" t="s">
        <v>502</v>
      </c>
      <c r="Q43" s="1" t="s">
        <v>870</v>
      </c>
      <c r="S43" s="1" t="s">
        <v>263</v>
      </c>
      <c r="T43" s="1" t="s">
        <v>264</v>
      </c>
      <c r="U43" s="1" t="s">
        <v>265</v>
      </c>
      <c r="V43" s="1" t="s">
        <v>503</v>
      </c>
      <c r="W43" t="s">
        <v>267</v>
      </c>
      <c r="X43" s="10">
        <v>17.67</v>
      </c>
      <c r="Y43" s="10">
        <v>3.93</v>
      </c>
      <c r="Z43" s="10">
        <v>2.35</v>
      </c>
      <c r="AA43" s="10">
        <v>295</v>
      </c>
      <c r="AB43" s="1" t="s">
        <v>900</v>
      </c>
      <c r="AC43" s="1">
        <v>1993</v>
      </c>
      <c r="AD43" s="1">
        <v>1997</v>
      </c>
      <c r="AE43" s="1">
        <v>13.3</v>
      </c>
      <c r="AF43" s="1" t="s">
        <v>269</v>
      </c>
      <c r="AG43" s="1" t="s">
        <v>270</v>
      </c>
      <c r="AH43" s="1" t="s">
        <v>895</v>
      </c>
      <c r="AI43" s="1" t="s">
        <v>605</v>
      </c>
      <c r="AJ43" s="1" t="s">
        <v>277</v>
      </c>
      <c r="AK43" s="1" t="s">
        <v>606</v>
      </c>
      <c r="AL43" s="1" t="s">
        <v>490</v>
      </c>
      <c r="AM43" t="s">
        <v>375</v>
      </c>
      <c r="AN43" s="10" t="s">
        <v>277</v>
      </c>
      <c r="AO43" s="17">
        <v>1</v>
      </c>
      <c r="AP43" s="17">
        <v>2</v>
      </c>
      <c r="AQ43" s="17">
        <v>8</v>
      </c>
      <c r="AR43" s="17">
        <v>3</v>
      </c>
      <c r="AS43" s="17">
        <v>2</v>
      </c>
      <c r="AT43" s="17" t="s">
        <v>278</v>
      </c>
      <c r="AU43" s="17">
        <f>885+453</f>
        <v>1338</v>
      </c>
      <c r="AV43" s="17" t="s">
        <v>278</v>
      </c>
      <c r="AW43" t="s">
        <v>901</v>
      </c>
      <c r="AX43" t="s">
        <v>902</v>
      </c>
      <c r="AY43" s="1" t="s">
        <v>284</v>
      </c>
      <c r="AZ43" s="1" t="s">
        <v>277</v>
      </c>
      <c r="BA43" t="s">
        <v>284</v>
      </c>
      <c r="BB43" s="2" t="s">
        <v>277</v>
      </c>
      <c r="BC43" s="2" t="s">
        <v>284</v>
      </c>
      <c r="BD43" s="2" t="s">
        <v>277</v>
      </c>
      <c r="BE43" s="3" t="s">
        <v>284</v>
      </c>
      <c r="BF43" s="2" t="s">
        <v>277</v>
      </c>
      <c r="BG43" s="3" t="s">
        <v>284</v>
      </c>
      <c r="BH43" s="2" t="s">
        <v>277</v>
      </c>
      <c r="BI43" s="2" t="s">
        <v>284</v>
      </c>
      <c r="BJ43" s="1" t="s">
        <v>277</v>
      </c>
      <c r="BK43" s="2" t="s">
        <v>284</v>
      </c>
      <c r="BL43" s="2" t="s">
        <v>277</v>
      </c>
      <c r="BM43" t="s">
        <v>284</v>
      </c>
      <c r="BN43" s="2" t="s">
        <v>277</v>
      </c>
      <c r="BO43" s="2" t="s">
        <v>284</v>
      </c>
      <c r="BP43" s="2" t="s">
        <v>277</v>
      </c>
      <c r="BQ43" s="2" t="s">
        <v>362</v>
      </c>
      <c r="BR43" s="1" t="s">
        <v>277</v>
      </c>
      <c r="BS43" s="2" t="s">
        <v>362</v>
      </c>
      <c r="BT43" s="2" t="s">
        <v>277</v>
      </c>
      <c r="BU43" s="2" t="s">
        <v>284</v>
      </c>
      <c r="BV43" s="2" t="s">
        <v>277</v>
      </c>
      <c r="BW43" s="1" t="s">
        <v>284</v>
      </c>
      <c r="BX43" s="1" t="s">
        <v>885</v>
      </c>
      <c r="BY43" s="2" t="s">
        <v>284</v>
      </c>
      <c r="BZ43" s="2" t="s">
        <v>277</v>
      </c>
      <c r="CA43" s="1" t="s">
        <v>903</v>
      </c>
      <c r="CB43" s="1" t="s">
        <v>277</v>
      </c>
      <c r="CC43" s="1" t="s">
        <v>277</v>
      </c>
      <c r="CD43" s="1" t="s">
        <v>278</v>
      </c>
      <c r="CE43" s="1" t="s">
        <v>278</v>
      </c>
      <c r="CF43" s="1" t="s">
        <v>278</v>
      </c>
      <c r="CG43" s="48" t="str">
        <f>IF(Data!$CB43="NA",".",Data!$CF43-(1-Data!$CF43))</f>
        <v>.</v>
      </c>
      <c r="CH43" s="1" t="s">
        <v>277</v>
      </c>
      <c r="CI43" s="17" t="s">
        <v>278</v>
      </c>
      <c r="CJ43" s="17" t="s">
        <v>278</v>
      </c>
      <c r="CK43" s="17" t="s">
        <v>278</v>
      </c>
      <c r="CL43" s="1" t="s">
        <v>277</v>
      </c>
      <c r="CM43" s="1" t="s">
        <v>277</v>
      </c>
      <c r="CN43" s="1" t="s">
        <v>277</v>
      </c>
      <c r="CO43" s="1" t="s">
        <v>277</v>
      </c>
      <c r="CP43" s="1" t="s">
        <v>277</v>
      </c>
      <c r="CQ43" s="1" t="s">
        <v>277</v>
      </c>
      <c r="CR43" s="1" t="s">
        <v>277</v>
      </c>
      <c r="CS43" s="1" t="s">
        <v>277</v>
      </c>
      <c r="CT43" s="1" t="s">
        <v>277</v>
      </c>
      <c r="CU43" s="1" t="s">
        <v>277</v>
      </c>
      <c r="CV43" s="1" t="s">
        <v>277</v>
      </c>
      <c r="CW43" s="1" t="s">
        <v>277</v>
      </c>
      <c r="CX43" s="1" t="s">
        <v>277</v>
      </c>
      <c r="CY43" s="1" t="s">
        <v>277</v>
      </c>
      <c r="CZ43" s="1" t="s">
        <v>277</v>
      </c>
      <c r="DA43" s="1" t="s">
        <v>277</v>
      </c>
      <c r="DB43" s="1" t="s">
        <v>277</v>
      </c>
      <c r="DC43" s="1" t="s">
        <v>277</v>
      </c>
      <c r="DD43" s="1" t="s">
        <v>277</v>
      </c>
      <c r="DE43" s="1" t="s">
        <v>277</v>
      </c>
      <c r="DF43" s="1" t="s">
        <v>277</v>
      </c>
      <c r="DG43" s="1" t="s">
        <v>277</v>
      </c>
      <c r="DH43" s="1" t="s">
        <v>277</v>
      </c>
      <c r="DI43" s="1" t="s">
        <v>277</v>
      </c>
      <c r="DJ43" s="1" t="s">
        <v>277</v>
      </c>
      <c r="DK43" s="1" t="s">
        <v>277</v>
      </c>
      <c r="DL43" s="1" t="s">
        <v>278</v>
      </c>
      <c r="DM43" s="1" t="s">
        <v>278</v>
      </c>
      <c r="DN43" s="48" t="s">
        <v>278</v>
      </c>
      <c r="DO43" s="48" t="s">
        <v>278</v>
      </c>
      <c r="DP43" s="1" t="s">
        <v>277</v>
      </c>
      <c r="DQ43" s="17" t="s">
        <v>278</v>
      </c>
      <c r="DR43" s="17" t="s">
        <v>278</v>
      </c>
      <c r="DS43" s="17" t="s">
        <v>278</v>
      </c>
      <c r="DT43" s="1" t="s">
        <v>277</v>
      </c>
      <c r="DU43" s="1" t="s">
        <v>277</v>
      </c>
      <c r="DV43" s="1" t="s">
        <v>277</v>
      </c>
      <c r="DW43" s="1" t="s">
        <v>277</v>
      </c>
      <c r="DX43" s="1" t="s">
        <v>277</v>
      </c>
      <c r="DY43" s="1" t="s">
        <v>277</v>
      </c>
      <c r="DZ43" s="1" t="s">
        <v>277</v>
      </c>
      <c r="EA43" s="1" t="s">
        <v>277</v>
      </c>
      <c r="EB43" s="1" t="s">
        <v>277</v>
      </c>
      <c r="EC43" s="1" t="s">
        <v>277</v>
      </c>
      <c r="ED43" s="1" t="s">
        <v>277</v>
      </c>
      <c r="EE43" s="1" t="s">
        <v>277</v>
      </c>
      <c r="EF43" s="1" t="s">
        <v>277</v>
      </c>
      <c r="EG43" s="1" t="s">
        <v>277</v>
      </c>
      <c r="EH43" s="1" t="s">
        <v>277</v>
      </c>
      <c r="EI43" s="1" t="s">
        <v>277</v>
      </c>
      <c r="EJ43" s="1" t="s">
        <v>277</v>
      </c>
      <c r="EK43" s="1" t="s">
        <v>277</v>
      </c>
      <c r="EL43" s="1" t="s">
        <v>277</v>
      </c>
      <c r="EM43" s="1" t="s">
        <v>277</v>
      </c>
      <c r="EN43" s="1" t="s">
        <v>277</v>
      </c>
      <c r="EO43" s="1" t="s">
        <v>277</v>
      </c>
      <c r="EP43" s="1" t="s">
        <v>277</v>
      </c>
      <c r="EQ43" s="1" t="s">
        <v>277</v>
      </c>
    </row>
    <row r="44" spans="1:147" s="1" customFormat="1" ht="15" customHeight="1">
      <c r="A44" s="30" t="s">
        <v>254</v>
      </c>
      <c r="B44" s="1">
        <v>41</v>
      </c>
      <c r="C44" s="1">
        <v>30</v>
      </c>
      <c r="D44" s="1">
        <v>2003</v>
      </c>
      <c r="E44" s="1" t="s">
        <v>904</v>
      </c>
      <c r="F44" s="1" t="s">
        <v>904</v>
      </c>
      <c r="G44" s="15">
        <v>1</v>
      </c>
      <c r="H44" s="15">
        <v>1</v>
      </c>
      <c r="I44" s="15">
        <v>1</v>
      </c>
      <c r="J44" s="1" t="s">
        <v>905</v>
      </c>
      <c r="K44" s="1" t="s">
        <v>906</v>
      </c>
      <c r="L44" s="1" t="s">
        <v>258</v>
      </c>
      <c r="M44" s="1" t="s">
        <v>907</v>
      </c>
      <c r="N44" s="1">
        <v>29</v>
      </c>
      <c r="O44" s="1" t="s">
        <v>501</v>
      </c>
      <c r="P44" s="1" t="s">
        <v>502</v>
      </c>
      <c r="Q44" s="1" t="s">
        <v>908</v>
      </c>
      <c r="R44" s="30" t="s">
        <v>1750</v>
      </c>
      <c r="S44" s="1" t="s">
        <v>263</v>
      </c>
      <c r="T44" s="1" t="s">
        <v>326</v>
      </c>
      <c r="U44" s="1" t="s">
        <v>265</v>
      </c>
      <c r="V44" t="s">
        <v>909</v>
      </c>
      <c r="W44" t="s">
        <v>267</v>
      </c>
      <c r="X44" s="10">
        <v>13.56</v>
      </c>
      <c r="Y44" s="10">
        <v>3.77</v>
      </c>
      <c r="Z44" s="10">
        <v>2.54</v>
      </c>
      <c r="AA44" s="10">
        <v>301</v>
      </c>
      <c r="AB44" s="1" t="s">
        <v>910</v>
      </c>
      <c r="AC44" s="1">
        <v>1999</v>
      </c>
      <c r="AD44" s="1">
        <v>2000</v>
      </c>
      <c r="AE44" s="1">
        <v>20.6</v>
      </c>
      <c r="AF44" s="1" t="s">
        <v>269</v>
      </c>
      <c r="AG44" s="1" t="s">
        <v>270</v>
      </c>
      <c r="AH44" s="1" t="s">
        <v>911</v>
      </c>
      <c r="AI44" s="1" t="s">
        <v>272</v>
      </c>
      <c r="AJ44" s="1" t="s">
        <v>912</v>
      </c>
      <c r="AK44" s="1" t="s">
        <v>274</v>
      </c>
      <c r="AL44" s="1" t="s">
        <v>913</v>
      </c>
      <c r="AM44" t="s">
        <v>375</v>
      </c>
      <c r="AN44" s="10" t="s">
        <v>277</v>
      </c>
      <c r="AO44" s="17">
        <v>1</v>
      </c>
      <c r="AP44" s="17">
        <v>3</v>
      </c>
      <c r="AQ44" s="17">
        <v>457</v>
      </c>
      <c r="AR44" s="17" t="s">
        <v>914</v>
      </c>
      <c r="AS44" s="17">
        <v>6</v>
      </c>
      <c r="AT44" s="17">
        <f>845+1728+639</f>
        <v>3212</v>
      </c>
      <c r="AU44" s="17">
        <f>845+1728+639</f>
        <v>3212</v>
      </c>
      <c r="AV44" s="17" t="s">
        <v>278</v>
      </c>
      <c r="AW44" t="s">
        <v>798</v>
      </c>
      <c r="AX44" t="s">
        <v>915</v>
      </c>
      <c r="AY44" s="1" t="s">
        <v>330</v>
      </c>
      <c r="AZ44" s="1" t="s">
        <v>916</v>
      </c>
      <c r="BA44" t="s">
        <v>284</v>
      </c>
      <c r="BB44" s="2" t="s">
        <v>277</v>
      </c>
      <c r="BC44" s="2" t="s">
        <v>289</v>
      </c>
      <c r="BD44" s="1" t="s">
        <v>917</v>
      </c>
      <c r="BE44" s="3" t="s">
        <v>289</v>
      </c>
      <c r="BF44" s="1" t="s">
        <v>918</v>
      </c>
      <c r="BG44" s="3" t="s">
        <v>919</v>
      </c>
      <c r="BH44" s="1" t="s">
        <v>920</v>
      </c>
      <c r="BI44" s="2" t="s">
        <v>289</v>
      </c>
      <c r="BJ44" s="1" t="s">
        <v>921</v>
      </c>
      <c r="BK44" s="2" t="s">
        <v>816</v>
      </c>
      <c r="BL44" s="1" t="s">
        <v>922</v>
      </c>
      <c r="BM44" t="s">
        <v>284</v>
      </c>
      <c r="BN44" s="2" t="s">
        <v>277</v>
      </c>
      <c r="BO44" s="2" t="s">
        <v>572</v>
      </c>
      <c r="BP44" s="1" t="s">
        <v>923</v>
      </c>
      <c r="BQ44" s="2" t="s">
        <v>362</v>
      </c>
      <c r="BR44" s="1" t="s">
        <v>277</v>
      </c>
      <c r="BS44" s="2" t="s">
        <v>362</v>
      </c>
      <c r="BT44" s="2" t="s">
        <v>277</v>
      </c>
      <c r="BU44" s="2" t="s">
        <v>284</v>
      </c>
      <c r="BV44" s="2" t="s">
        <v>277</v>
      </c>
      <c r="BW44" s="1" t="s">
        <v>284</v>
      </c>
      <c r="BX44" s="1" t="s">
        <v>885</v>
      </c>
      <c r="BY44" s="2" t="s">
        <v>284</v>
      </c>
      <c r="BZ44" s="2" t="s">
        <v>277</v>
      </c>
      <c r="CA44" s="2" t="s">
        <v>277</v>
      </c>
      <c r="CB44" s="1" t="s">
        <v>924</v>
      </c>
      <c r="CC44" s="1" t="s">
        <v>925</v>
      </c>
      <c r="CD44" s="48">
        <f>(100-24.2)/(100-25.6)</f>
        <v>1.0188172043010753</v>
      </c>
      <c r="CE44" s="48">
        <f>24.2/25.6</f>
        <v>0.9453124999999999</v>
      </c>
      <c r="CF44" s="48">
        <f aca="true" t="shared" si="1" ref="CF44:CF49">CE44/(CE44+CD44)</f>
        <v>0.48128822548222916</v>
      </c>
      <c r="CG44" s="48">
        <f>IF(Data!$CB44="NA",".",Data!$CF44-(1-Data!$CF44))</f>
        <v>-0.03742354903554168</v>
      </c>
      <c r="CH44" s="1" t="s">
        <v>926</v>
      </c>
      <c r="CI44" s="17">
        <v>0</v>
      </c>
      <c r="CJ44" s="17">
        <v>1</v>
      </c>
      <c r="CK44" s="17">
        <v>0</v>
      </c>
      <c r="CL44" s="10" t="s">
        <v>303</v>
      </c>
      <c r="CM44" s="10" t="s">
        <v>298</v>
      </c>
      <c r="CN44" s="10" t="s">
        <v>299</v>
      </c>
      <c r="CO44" s="10" t="s">
        <v>299</v>
      </c>
      <c r="CP44" s="10" t="s">
        <v>299</v>
      </c>
      <c r="CQ44" s="10" t="s">
        <v>298</v>
      </c>
      <c r="CR44" s="10" t="s">
        <v>298</v>
      </c>
      <c r="CS44" s="10" t="s">
        <v>298</v>
      </c>
      <c r="CT44" s="10" t="s">
        <v>298</v>
      </c>
      <c r="CU44" s="10" t="s">
        <v>298</v>
      </c>
      <c r="CV44" s="10" t="s">
        <v>298</v>
      </c>
      <c r="CW44" s="10" t="s">
        <v>298</v>
      </c>
      <c r="CX44" s="10" t="s">
        <v>298</v>
      </c>
      <c r="CY44" s="10" t="s">
        <v>298</v>
      </c>
      <c r="CZ44" s="10" t="s">
        <v>300</v>
      </c>
      <c r="DA44" s="10" t="s">
        <v>298</v>
      </c>
      <c r="DB44" s="10" t="s">
        <v>298</v>
      </c>
      <c r="DC44" s="10" t="s">
        <v>298</v>
      </c>
      <c r="DD44" s="10" t="s">
        <v>298</v>
      </c>
      <c r="DE44" s="10" t="s">
        <v>298</v>
      </c>
      <c r="DF44" s="10" t="s">
        <v>298</v>
      </c>
      <c r="DG44" s="10" t="s">
        <v>298</v>
      </c>
      <c r="DH44" s="10" t="s">
        <v>298</v>
      </c>
      <c r="DI44" s="10" t="s">
        <v>298</v>
      </c>
      <c r="DJ44" s="1" t="s">
        <v>277</v>
      </c>
      <c r="DK44" s="1" t="s">
        <v>277</v>
      </c>
      <c r="DL44" s="1" t="s">
        <v>278</v>
      </c>
      <c r="DM44" s="1" t="s">
        <v>278</v>
      </c>
      <c r="DN44" s="48" t="s">
        <v>278</v>
      </c>
      <c r="DO44" s="48" t="s">
        <v>278</v>
      </c>
      <c r="DP44" s="1" t="s">
        <v>277</v>
      </c>
      <c r="DQ44" s="17" t="s">
        <v>278</v>
      </c>
      <c r="DR44" s="17" t="s">
        <v>278</v>
      </c>
      <c r="DS44" s="17" t="s">
        <v>278</v>
      </c>
      <c r="DT44" s="1" t="s">
        <v>277</v>
      </c>
      <c r="DU44" s="1" t="s">
        <v>277</v>
      </c>
      <c r="DV44" s="1" t="s">
        <v>277</v>
      </c>
      <c r="DW44" s="1" t="s">
        <v>277</v>
      </c>
      <c r="DX44" s="1" t="s">
        <v>277</v>
      </c>
      <c r="DY44" s="1" t="s">
        <v>277</v>
      </c>
      <c r="DZ44" s="1" t="s">
        <v>277</v>
      </c>
      <c r="EA44" s="1" t="s">
        <v>277</v>
      </c>
      <c r="EB44" s="1" t="s">
        <v>277</v>
      </c>
      <c r="EC44" s="1" t="s">
        <v>277</v>
      </c>
      <c r="ED44" s="1" t="s">
        <v>277</v>
      </c>
      <c r="EE44" s="1" t="s">
        <v>277</v>
      </c>
      <c r="EF44" s="1" t="s">
        <v>277</v>
      </c>
      <c r="EG44" s="1" t="s">
        <v>277</v>
      </c>
      <c r="EH44" s="1" t="s">
        <v>277</v>
      </c>
      <c r="EI44" s="1" t="s">
        <v>277</v>
      </c>
      <c r="EJ44" s="1" t="s">
        <v>277</v>
      </c>
      <c r="EK44" s="1" t="s">
        <v>277</v>
      </c>
      <c r="EL44" s="1" t="s">
        <v>277</v>
      </c>
      <c r="EM44" s="1" t="s">
        <v>277</v>
      </c>
      <c r="EN44" s="1" t="s">
        <v>277</v>
      </c>
      <c r="EO44" s="1" t="s">
        <v>277</v>
      </c>
      <c r="EP44" s="1" t="s">
        <v>277</v>
      </c>
      <c r="EQ44" s="1" t="s">
        <v>277</v>
      </c>
    </row>
    <row r="45" spans="1:147" s="1" customFormat="1" ht="15" customHeight="1">
      <c r="A45" s="30" t="s">
        <v>254</v>
      </c>
      <c r="B45" s="1">
        <v>42</v>
      </c>
      <c r="C45" s="1">
        <v>31</v>
      </c>
      <c r="D45" s="1">
        <v>2007</v>
      </c>
      <c r="E45" s="1" t="s">
        <v>927</v>
      </c>
      <c r="F45" s="1" t="s">
        <v>927</v>
      </c>
      <c r="G45" s="15">
        <v>1</v>
      </c>
      <c r="H45" s="15">
        <v>1</v>
      </c>
      <c r="I45" s="15">
        <v>1</v>
      </c>
      <c r="J45" s="1" t="s">
        <v>928</v>
      </c>
      <c r="K45" s="1" t="s">
        <v>892</v>
      </c>
      <c r="L45" s="1" t="s">
        <v>258</v>
      </c>
      <c r="M45" s="1" t="s">
        <v>929</v>
      </c>
      <c r="N45" s="1">
        <v>43</v>
      </c>
      <c r="O45" s="1" t="s">
        <v>501</v>
      </c>
      <c r="P45" s="1" t="s">
        <v>502</v>
      </c>
      <c r="Q45" s="1" t="s">
        <v>930</v>
      </c>
      <c r="R45" s="1" t="s">
        <v>1741</v>
      </c>
      <c r="S45" s="1" t="s">
        <v>646</v>
      </c>
      <c r="T45" s="1" t="s">
        <v>264</v>
      </c>
      <c r="U45" s="1" t="s">
        <v>346</v>
      </c>
      <c r="V45" s="1" t="s">
        <v>503</v>
      </c>
      <c r="W45" t="s">
        <v>267</v>
      </c>
      <c r="X45" s="10">
        <v>9.86</v>
      </c>
      <c r="Y45" s="10">
        <v>2.96</v>
      </c>
      <c r="Z45" s="10">
        <v>2.38</v>
      </c>
      <c r="AA45" s="10">
        <v>264</v>
      </c>
      <c r="AB45" s="1" t="s">
        <v>931</v>
      </c>
      <c r="AC45" s="1">
        <v>1976</v>
      </c>
      <c r="AD45" s="1">
        <v>2004</v>
      </c>
      <c r="AE45" s="1" t="s">
        <v>278</v>
      </c>
      <c r="AF45" s="1" t="s">
        <v>269</v>
      </c>
      <c r="AG45" s="1" t="s">
        <v>270</v>
      </c>
      <c r="AH45" s="1" t="s">
        <v>932</v>
      </c>
      <c r="AI45" s="1" t="s">
        <v>272</v>
      </c>
      <c r="AJ45" t="s">
        <v>933</v>
      </c>
      <c r="AK45" s="1" t="s">
        <v>373</v>
      </c>
      <c r="AL45" s="1" t="s">
        <v>934</v>
      </c>
      <c r="AM45" s="1" t="s">
        <v>276</v>
      </c>
      <c r="AN45" s="10" t="s">
        <v>277</v>
      </c>
      <c r="AO45" s="17">
        <v>1</v>
      </c>
      <c r="AP45" s="17">
        <v>3</v>
      </c>
      <c r="AQ45" s="17">
        <v>11</v>
      </c>
      <c r="AR45" s="17">
        <v>3</v>
      </c>
      <c r="AS45" s="17">
        <v>1</v>
      </c>
      <c r="AT45" s="17">
        <v>471</v>
      </c>
      <c r="AU45" s="17">
        <v>471</v>
      </c>
      <c r="AV45" s="17">
        <v>471</v>
      </c>
      <c r="AW45" t="s">
        <v>547</v>
      </c>
      <c r="AX45" t="s">
        <v>547</v>
      </c>
      <c r="AY45" s="1" t="s">
        <v>464</v>
      </c>
      <c r="AZ45" s="1" t="s">
        <v>935</v>
      </c>
      <c r="BA45" t="s">
        <v>284</v>
      </c>
      <c r="BB45" s="2" t="s">
        <v>277</v>
      </c>
      <c r="BC45" s="2" t="s">
        <v>289</v>
      </c>
      <c r="BD45" s="1" t="s">
        <v>936</v>
      </c>
      <c r="BE45" s="3" t="s">
        <v>284</v>
      </c>
      <c r="BF45" s="2" t="s">
        <v>277</v>
      </c>
      <c r="BG45" s="3" t="s">
        <v>919</v>
      </c>
      <c r="BH45" s="1" t="s">
        <v>937</v>
      </c>
      <c r="BI45" s="2" t="s">
        <v>380</v>
      </c>
      <c r="BJ45" s="1" t="s">
        <v>938</v>
      </c>
      <c r="BK45" s="2" t="s">
        <v>816</v>
      </c>
      <c r="BL45" s="1" t="s">
        <v>939</v>
      </c>
      <c r="BM45" t="s">
        <v>284</v>
      </c>
      <c r="BN45" s="2" t="s">
        <v>277</v>
      </c>
      <c r="BO45" s="2" t="s">
        <v>289</v>
      </c>
      <c r="BP45" s="1" t="s">
        <v>940</v>
      </c>
      <c r="BQ45" s="2" t="s">
        <v>362</v>
      </c>
      <c r="BR45" s="1" t="s">
        <v>277</v>
      </c>
      <c r="BS45" s="2" t="s">
        <v>362</v>
      </c>
      <c r="BT45" s="2" t="s">
        <v>277</v>
      </c>
      <c r="BU45" s="2" t="s">
        <v>284</v>
      </c>
      <c r="BV45" s="2" t="s">
        <v>277</v>
      </c>
      <c r="BW45" s="1" t="s">
        <v>284</v>
      </c>
      <c r="BX45" s="1" t="s">
        <v>277</v>
      </c>
      <c r="BY45" s="2" t="s">
        <v>284</v>
      </c>
      <c r="BZ45" s="2" t="s">
        <v>277</v>
      </c>
      <c r="CA45" s="2" t="s">
        <v>277</v>
      </c>
      <c r="CB45" s="1" t="s">
        <v>941</v>
      </c>
      <c r="CC45" s="1" t="s">
        <v>942</v>
      </c>
      <c r="CD45" s="48">
        <f>(49+55+40+20+36+80+84+68)/8</f>
        <v>54</v>
      </c>
      <c r="CE45" s="48">
        <f>(44+98+91)/3</f>
        <v>77.66666666666667</v>
      </c>
      <c r="CF45" s="48">
        <f t="shared" si="1"/>
        <v>0.5898734177215189</v>
      </c>
      <c r="CG45" s="48">
        <f>IF(Data!$CB45="NA",".",Data!$CF45-(1-Data!$CF45))</f>
        <v>0.17974683544303782</v>
      </c>
      <c r="CH45" s="1" t="s">
        <v>277</v>
      </c>
      <c r="CI45" s="17">
        <v>0</v>
      </c>
      <c r="CJ45" s="17">
        <v>1</v>
      </c>
      <c r="CK45" s="17">
        <v>0</v>
      </c>
      <c r="CL45" s="10" t="s">
        <v>303</v>
      </c>
      <c r="CM45" s="10" t="s">
        <v>298</v>
      </c>
      <c r="CN45" s="10" t="s">
        <v>299</v>
      </c>
      <c r="CO45" s="10" t="s">
        <v>299</v>
      </c>
      <c r="CP45" s="10" t="s">
        <v>299</v>
      </c>
      <c r="CQ45" s="10" t="s">
        <v>299</v>
      </c>
      <c r="CR45" s="10" t="s">
        <v>299</v>
      </c>
      <c r="CS45" s="10" t="s">
        <v>298</v>
      </c>
      <c r="CT45" s="10" t="s">
        <v>366</v>
      </c>
      <c r="CU45" s="10"/>
      <c r="CV45" s="10" t="s">
        <v>299</v>
      </c>
      <c r="CW45" s="10" t="s">
        <v>299</v>
      </c>
      <c r="CX45" s="10" t="s">
        <v>299</v>
      </c>
      <c r="CY45" s="10" t="s">
        <v>298</v>
      </c>
      <c r="CZ45" s="10" t="s">
        <v>300</v>
      </c>
      <c r="DA45" s="10" t="s">
        <v>299</v>
      </c>
      <c r="DB45" s="10" t="s">
        <v>298</v>
      </c>
      <c r="DC45" s="10" t="s">
        <v>298</v>
      </c>
      <c r="DD45" s="10" t="s">
        <v>298</v>
      </c>
      <c r="DE45" s="10" t="s">
        <v>298</v>
      </c>
      <c r="DF45" s="10" t="s">
        <v>298</v>
      </c>
      <c r="DG45" s="10" t="s">
        <v>299</v>
      </c>
      <c r="DH45" s="10" t="s">
        <v>298</v>
      </c>
      <c r="DI45" s="10" t="s">
        <v>298</v>
      </c>
      <c r="DJ45" s="1" t="s">
        <v>277</v>
      </c>
      <c r="DK45" s="1" t="s">
        <v>277</v>
      </c>
      <c r="DL45" s="1" t="s">
        <v>278</v>
      </c>
      <c r="DM45" s="1" t="s">
        <v>278</v>
      </c>
      <c r="DN45" s="48" t="s">
        <v>278</v>
      </c>
      <c r="DO45" s="48" t="s">
        <v>278</v>
      </c>
      <c r="DP45" s="1" t="s">
        <v>277</v>
      </c>
      <c r="DQ45" s="17" t="s">
        <v>278</v>
      </c>
      <c r="DR45" s="17" t="s">
        <v>278</v>
      </c>
      <c r="DS45" s="17" t="s">
        <v>278</v>
      </c>
      <c r="DT45" s="1" t="s">
        <v>277</v>
      </c>
      <c r="DU45" s="1" t="s">
        <v>277</v>
      </c>
      <c r="DV45" s="1" t="s">
        <v>277</v>
      </c>
      <c r="DW45" s="1" t="s">
        <v>277</v>
      </c>
      <c r="DX45" s="1" t="s">
        <v>277</v>
      </c>
      <c r="DY45" s="1" t="s">
        <v>277</v>
      </c>
      <c r="DZ45" s="1" t="s">
        <v>277</v>
      </c>
      <c r="EA45" s="1" t="s">
        <v>277</v>
      </c>
      <c r="EB45" s="1" t="s">
        <v>277</v>
      </c>
      <c r="EC45" s="1" t="s">
        <v>277</v>
      </c>
      <c r="ED45" s="1" t="s">
        <v>277</v>
      </c>
      <c r="EE45" s="1" t="s">
        <v>277</v>
      </c>
      <c r="EF45" s="1" t="s">
        <v>277</v>
      </c>
      <c r="EG45" s="1" t="s">
        <v>277</v>
      </c>
      <c r="EH45" s="1" t="s">
        <v>277</v>
      </c>
      <c r="EI45" s="1" t="s">
        <v>277</v>
      </c>
      <c r="EJ45" s="1" t="s">
        <v>277</v>
      </c>
      <c r="EK45" s="1" t="s">
        <v>277</v>
      </c>
      <c r="EL45" s="1" t="s">
        <v>277</v>
      </c>
      <c r="EM45" s="1" t="s">
        <v>277</v>
      </c>
      <c r="EN45" s="1" t="s">
        <v>277</v>
      </c>
      <c r="EO45" s="1" t="s">
        <v>277</v>
      </c>
      <c r="EP45" s="1" t="s">
        <v>277</v>
      </c>
      <c r="EQ45" s="1" t="s">
        <v>277</v>
      </c>
    </row>
    <row r="46" spans="1:147" s="1" customFormat="1" ht="15" customHeight="1">
      <c r="A46" s="30" t="s">
        <v>254</v>
      </c>
      <c r="B46" s="1">
        <v>43</v>
      </c>
      <c r="C46" s="1">
        <v>32</v>
      </c>
      <c r="D46" s="1">
        <v>2010</v>
      </c>
      <c r="E46" s="4" t="s">
        <v>943</v>
      </c>
      <c r="F46" s="4" t="s">
        <v>943</v>
      </c>
      <c r="G46" s="15">
        <v>1</v>
      </c>
      <c r="H46" s="15">
        <v>1</v>
      </c>
      <c r="I46" s="15">
        <v>1</v>
      </c>
      <c r="J46" s="4" t="s">
        <v>944</v>
      </c>
      <c r="K46" s="1" t="s">
        <v>945</v>
      </c>
      <c r="L46" s="1" t="s">
        <v>258</v>
      </c>
      <c r="M46" s="1" t="s">
        <v>946</v>
      </c>
      <c r="N46" s="1">
        <v>10</v>
      </c>
      <c r="O46" s="1" t="s">
        <v>501</v>
      </c>
      <c r="P46" s="1" t="s">
        <v>502</v>
      </c>
      <c r="Q46" s="1" t="s">
        <v>1742</v>
      </c>
      <c r="R46" s="1" t="s">
        <v>1743</v>
      </c>
      <c r="S46" s="1" t="s">
        <v>646</v>
      </c>
      <c r="T46" s="1" t="s">
        <v>517</v>
      </c>
      <c r="U46" s="1" t="s">
        <v>265</v>
      </c>
      <c r="V46" t="s">
        <v>947</v>
      </c>
      <c r="W46" t="s">
        <v>267</v>
      </c>
      <c r="X46" s="10">
        <v>8.61</v>
      </c>
      <c r="Y46" s="10">
        <v>3.75</v>
      </c>
      <c r="Z46" s="10">
        <v>3.22</v>
      </c>
      <c r="AA46" s="10">
        <v>308</v>
      </c>
      <c r="AB46" s="1">
        <v>2007</v>
      </c>
      <c r="AC46" s="1">
        <v>2007</v>
      </c>
      <c r="AD46" s="1">
        <v>2007</v>
      </c>
      <c r="AE46" s="1">
        <v>21.3</v>
      </c>
      <c r="AF46" s="1" t="s">
        <v>269</v>
      </c>
      <c r="AG46" s="1" t="s">
        <v>270</v>
      </c>
      <c r="AH46" s="1" t="s">
        <v>948</v>
      </c>
      <c r="AI46" s="1" t="s">
        <v>272</v>
      </c>
      <c r="AJ46" t="s">
        <v>949</v>
      </c>
      <c r="AK46" s="1" t="s">
        <v>274</v>
      </c>
      <c r="AL46" s="1" t="s">
        <v>950</v>
      </c>
      <c r="AM46" t="s">
        <v>375</v>
      </c>
      <c r="AN46" s="10" t="s">
        <v>277</v>
      </c>
      <c r="AO46" s="17">
        <v>1</v>
      </c>
      <c r="AP46" s="17">
        <v>6</v>
      </c>
      <c r="AQ46" s="17">
        <v>98</v>
      </c>
      <c r="AR46" s="17">
        <v>25</v>
      </c>
      <c r="AS46" s="17">
        <v>6</v>
      </c>
      <c r="AT46" s="17">
        <v>182</v>
      </c>
      <c r="AU46" s="17">
        <v>182</v>
      </c>
      <c r="AV46" s="17">
        <v>182</v>
      </c>
      <c r="AW46" t="s">
        <v>547</v>
      </c>
      <c r="AX46" t="s">
        <v>547</v>
      </c>
      <c r="AY46" s="1" t="s">
        <v>284</v>
      </c>
      <c r="AZ46" t="s">
        <v>951</v>
      </c>
      <c r="BA46" t="s">
        <v>284</v>
      </c>
      <c r="BB46" s="2" t="s">
        <v>277</v>
      </c>
      <c r="BC46" s="2" t="s">
        <v>284</v>
      </c>
      <c r="BD46" s="2" t="s">
        <v>277</v>
      </c>
      <c r="BE46" s="3" t="s">
        <v>284</v>
      </c>
      <c r="BF46" s="2" t="s">
        <v>277</v>
      </c>
      <c r="BG46" s="3" t="s">
        <v>952</v>
      </c>
      <c r="BH46" s="7" t="s">
        <v>953</v>
      </c>
      <c r="BI46" s="2" t="s">
        <v>954</v>
      </c>
      <c r="BJ46" s="7" t="s">
        <v>955</v>
      </c>
      <c r="BK46" s="2" t="s">
        <v>284</v>
      </c>
      <c r="BL46" s="1" t="s">
        <v>956</v>
      </c>
      <c r="BM46" t="s">
        <v>284</v>
      </c>
      <c r="BN46" s="2" t="s">
        <v>277</v>
      </c>
      <c r="BO46" s="2" t="s">
        <v>572</v>
      </c>
      <c r="BP46" s="1" t="s">
        <v>957</v>
      </c>
      <c r="BQ46" s="2" t="s">
        <v>362</v>
      </c>
      <c r="BR46" s="1" t="s">
        <v>277</v>
      </c>
      <c r="BS46" s="2" t="s">
        <v>362</v>
      </c>
      <c r="BT46" s="2" t="s">
        <v>277</v>
      </c>
      <c r="BU46" s="2" t="s">
        <v>284</v>
      </c>
      <c r="BV46" s="2" t="s">
        <v>277</v>
      </c>
      <c r="BW46" s="1" t="s">
        <v>958</v>
      </c>
      <c r="BX46" s="7" t="s">
        <v>959</v>
      </c>
      <c r="BY46" s="2" t="s">
        <v>289</v>
      </c>
      <c r="BZ46" s="1" t="s">
        <v>960</v>
      </c>
      <c r="CA46" s="1" t="s">
        <v>961</v>
      </c>
      <c r="CB46" s="1" t="s">
        <v>962</v>
      </c>
      <c r="CC46" s="7" t="s">
        <v>963</v>
      </c>
      <c r="CD46" s="48">
        <f>160/73</f>
        <v>2.191780821917808</v>
      </c>
      <c r="CE46" s="48">
        <f>92/25</f>
        <v>3.68</v>
      </c>
      <c r="CF46" s="48">
        <f t="shared" si="1"/>
        <v>0.6267263904441956</v>
      </c>
      <c r="CG46" s="48">
        <f>IF(Data!$CB46="NA",".",Data!$CF46-(1-Data!$CF46))</f>
        <v>0.2534527808883913</v>
      </c>
      <c r="CH46" s="1" t="s">
        <v>277</v>
      </c>
      <c r="CI46" s="17">
        <v>0</v>
      </c>
      <c r="CJ46" s="17">
        <v>1</v>
      </c>
      <c r="CK46" s="17">
        <v>1</v>
      </c>
      <c r="CL46" s="10" t="s">
        <v>303</v>
      </c>
      <c r="CM46" s="10" t="s">
        <v>298</v>
      </c>
      <c r="CN46" s="10" t="s">
        <v>299</v>
      </c>
      <c r="CO46" s="10" t="s">
        <v>299</v>
      </c>
      <c r="CP46" s="10" t="s">
        <v>299</v>
      </c>
      <c r="CQ46" s="10" t="s">
        <v>299</v>
      </c>
      <c r="CR46" s="10" t="s">
        <v>299</v>
      </c>
      <c r="CS46" s="10" t="s">
        <v>298</v>
      </c>
      <c r="CT46" s="10" t="s">
        <v>298</v>
      </c>
      <c r="CU46" s="10" t="s">
        <v>298</v>
      </c>
      <c r="CV46" s="10" t="s">
        <v>298</v>
      </c>
      <c r="CW46" s="10" t="s">
        <v>298</v>
      </c>
      <c r="CX46" s="10" t="s">
        <v>298</v>
      </c>
      <c r="CY46" s="10" t="s">
        <v>298</v>
      </c>
      <c r="CZ46" s="10" t="s">
        <v>300</v>
      </c>
      <c r="DA46" s="10" t="s">
        <v>298</v>
      </c>
      <c r="DB46" s="10" t="s">
        <v>298</v>
      </c>
      <c r="DC46" s="10" t="s">
        <v>298</v>
      </c>
      <c r="DD46" s="10" t="s">
        <v>298</v>
      </c>
      <c r="DE46" s="10" t="s">
        <v>298</v>
      </c>
      <c r="DF46" s="10" t="s">
        <v>298</v>
      </c>
      <c r="DG46" s="10" t="s">
        <v>298</v>
      </c>
      <c r="DH46" s="10" t="s">
        <v>298</v>
      </c>
      <c r="DI46" s="10" t="s">
        <v>298</v>
      </c>
      <c r="DJ46" s="1" t="s">
        <v>277</v>
      </c>
      <c r="DK46" s="1" t="s">
        <v>277</v>
      </c>
      <c r="DL46" s="1" t="s">
        <v>278</v>
      </c>
      <c r="DM46" s="1" t="s">
        <v>278</v>
      </c>
      <c r="DN46" s="48" t="s">
        <v>278</v>
      </c>
      <c r="DO46" s="48" t="s">
        <v>278</v>
      </c>
      <c r="DP46" s="1" t="s">
        <v>277</v>
      </c>
      <c r="DQ46" s="17" t="s">
        <v>278</v>
      </c>
      <c r="DR46" s="17" t="s">
        <v>278</v>
      </c>
      <c r="DS46" s="17" t="s">
        <v>278</v>
      </c>
      <c r="DT46" s="1" t="s">
        <v>277</v>
      </c>
      <c r="DU46" s="1" t="s">
        <v>277</v>
      </c>
      <c r="DV46" s="1" t="s">
        <v>277</v>
      </c>
      <c r="DW46" s="1" t="s">
        <v>277</v>
      </c>
      <c r="DX46" s="1" t="s">
        <v>277</v>
      </c>
      <c r="DY46" s="1" t="s">
        <v>277</v>
      </c>
      <c r="DZ46" s="1" t="s">
        <v>277</v>
      </c>
      <c r="EA46" s="1" t="s">
        <v>277</v>
      </c>
      <c r="EB46" s="1" t="s">
        <v>277</v>
      </c>
      <c r="EC46" s="1" t="s">
        <v>277</v>
      </c>
      <c r="ED46" s="1" t="s">
        <v>277</v>
      </c>
      <c r="EE46" s="1" t="s">
        <v>277</v>
      </c>
      <c r="EF46" s="1" t="s">
        <v>277</v>
      </c>
      <c r="EG46" s="1" t="s">
        <v>277</v>
      </c>
      <c r="EH46" s="1" t="s">
        <v>277</v>
      </c>
      <c r="EI46" s="1" t="s">
        <v>277</v>
      </c>
      <c r="EJ46" s="1" t="s">
        <v>277</v>
      </c>
      <c r="EK46" s="1" t="s">
        <v>277</v>
      </c>
      <c r="EL46" s="1" t="s">
        <v>277</v>
      </c>
      <c r="EM46" s="1" t="s">
        <v>277</v>
      </c>
      <c r="EN46" s="1" t="s">
        <v>277</v>
      </c>
      <c r="EO46" s="1" t="s">
        <v>277</v>
      </c>
      <c r="EP46" s="1" t="s">
        <v>277</v>
      </c>
      <c r="EQ46" s="1" t="s">
        <v>277</v>
      </c>
    </row>
    <row r="47" spans="1:147" s="1" customFormat="1" ht="15" customHeight="1">
      <c r="A47" s="30" t="s">
        <v>254</v>
      </c>
      <c r="B47" s="1">
        <v>44</v>
      </c>
      <c r="C47" s="1">
        <v>33</v>
      </c>
      <c r="D47" s="1">
        <v>2015</v>
      </c>
      <c r="E47" s="1" t="s">
        <v>964</v>
      </c>
      <c r="F47" s="1" t="s">
        <v>964</v>
      </c>
      <c r="G47" s="15">
        <v>2</v>
      </c>
      <c r="H47" s="15">
        <v>2</v>
      </c>
      <c r="I47" s="15">
        <v>1</v>
      </c>
      <c r="J47" s="1" t="s">
        <v>965</v>
      </c>
      <c r="K47" s="1" t="s">
        <v>966</v>
      </c>
      <c r="L47" s="1" t="s">
        <v>258</v>
      </c>
      <c r="M47" s="1" t="s">
        <v>967</v>
      </c>
      <c r="N47" s="1">
        <v>28</v>
      </c>
      <c r="O47" s="1" t="s">
        <v>968</v>
      </c>
      <c r="P47" s="1" t="s">
        <v>431</v>
      </c>
      <c r="Q47" s="1" t="s">
        <v>432</v>
      </c>
      <c r="R47" s="1" t="s">
        <v>1732</v>
      </c>
      <c r="S47" s="1" t="s">
        <v>263</v>
      </c>
      <c r="T47" s="1" t="s">
        <v>433</v>
      </c>
      <c r="U47" s="1" t="s">
        <v>265</v>
      </c>
      <c r="V47" s="1" t="s">
        <v>434</v>
      </c>
      <c r="W47" t="s">
        <v>435</v>
      </c>
      <c r="X47" s="10" t="s">
        <v>278</v>
      </c>
      <c r="Y47" s="10" t="s">
        <v>278</v>
      </c>
      <c r="Z47" s="10" t="s">
        <v>278</v>
      </c>
      <c r="AA47" s="10" t="s">
        <v>278</v>
      </c>
      <c r="AB47" s="1" t="s">
        <v>969</v>
      </c>
      <c r="AC47" s="1">
        <v>2009</v>
      </c>
      <c r="AD47" s="1">
        <v>2011</v>
      </c>
      <c r="AE47" s="1">
        <f>AVERAGE(18.9,19.5,21.3,32.8,42)</f>
        <v>26.9</v>
      </c>
      <c r="AF47" s="1" t="s">
        <v>664</v>
      </c>
      <c r="AG47" s="1" t="s">
        <v>590</v>
      </c>
      <c r="AH47" s="1" t="s">
        <v>271</v>
      </c>
      <c r="AI47" s="1" t="s">
        <v>272</v>
      </c>
      <c r="AJ47" t="s">
        <v>970</v>
      </c>
      <c r="AK47" s="1" t="s">
        <v>373</v>
      </c>
      <c r="AL47" s="1" t="s">
        <v>971</v>
      </c>
      <c r="AM47" s="1" t="s">
        <v>276</v>
      </c>
      <c r="AN47" s="10" t="s">
        <v>277</v>
      </c>
      <c r="AO47" s="17">
        <v>5</v>
      </c>
      <c r="AP47" s="17">
        <v>0</v>
      </c>
      <c r="AQ47" s="17">
        <v>302</v>
      </c>
      <c r="AR47" s="17" t="s">
        <v>972</v>
      </c>
      <c r="AS47" s="17">
        <v>10</v>
      </c>
      <c r="AT47" s="17" t="s">
        <v>278</v>
      </c>
      <c r="AU47" s="17" t="s">
        <v>278</v>
      </c>
      <c r="AV47" s="17">
        <v>7550</v>
      </c>
      <c r="AW47" t="s">
        <v>973</v>
      </c>
      <c r="AX47" t="s">
        <v>974</v>
      </c>
      <c r="AY47" s="1" t="s">
        <v>330</v>
      </c>
      <c r="AZ47" s="1" t="s">
        <v>975</v>
      </c>
      <c r="BA47" t="s">
        <v>284</v>
      </c>
      <c r="BB47" s="2" t="s">
        <v>277</v>
      </c>
      <c r="BC47" s="2" t="s">
        <v>284</v>
      </c>
      <c r="BD47" s="2" t="s">
        <v>277</v>
      </c>
      <c r="BE47" s="3" t="s">
        <v>284</v>
      </c>
      <c r="BF47" s="2" t="s">
        <v>277</v>
      </c>
      <c r="BG47" t="s">
        <v>284</v>
      </c>
      <c r="BH47" s="2" t="s">
        <v>277</v>
      </c>
      <c r="BI47" s="2" t="s">
        <v>284</v>
      </c>
      <c r="BJ47" s="1" t="s">
        <v>277</v>
      </c>
      <c r="BK47" t="s">
        <v>284</v>
      </c>
      <c r="BL47" s="2" t="s">
        <v>277</v>
      </c>
      <c r="BM47" t="s">
        <v>284</v>
      </c>
      <c r="BN47" s="2" t="s">
        <v>277</v>
      </c>
      <c r="BO47" s="2" t="s">
        <v>284</v>
      </c>
      <c r="BP47" s="2" t="s">
        <v>277</v>
      </c>
      <c r="BQ47" s="2" t="s">
        <v>362</v>
      </c>
      <c r="BR47" s="1" t="s">
        <v>277</v>
      </c>
      <c r="BS47" s="2" t="s">
        <v>362</v>
      </c>
      <c r="BT47" s="2" t="s">
        <v>277</v>
      </c>
      <c r="BU47" s="2" t="s">
        <v>284</v>
      </c>
      <c r="BV47" s="2" t="s">
        <v>277</v>
      </c>
      <c r="BW47" s="1" t="s">
        <v>284</v>
      </c>
      <c r="BX47" s="1" t="s">
        <v>277</v>
      </c>
      <c r="BY47" s="2" t="s">
        <v>284</v>
      </c>
      <c r="BZ47" s="2" t="s">
        <v>277</v>
      </c>
      <c r="CA47" s="2" t="s">
        <v>277</v>
      </c>
      <c r="CB47" s="1" t="s">
        <v>976</v>
      </c>
      <c r="CC47" s="1" t="s">
        <v>977</v>
      </c>
      <c r="CD47" s="48">
        <v>2.33884</v>
      </c>
      <c r="CE47" s="48">
        <v>2.61984</v>
      </c>
      <c r="CF47" s="48">
        <f t="shared" si="1"/>
        <v>0.5283341534440618</v>
      </c>
      <c r="CG47" s="48">
        <f>IF(Data!$CB47="NA",".",Data!$CF47-(1-Data!$CF47))</f>
        <v>0.05666830688812352</v>
      </c>
      <c r="CH47" s="1" t="s">
        <v>277</v>
      </c>
      <c r="CI47" s="17">
        <v>0</v>
      </c>
      <c r="CJ47" s="17">
        <v>1</v>
      </c>
      <c r="CK47" s="17">
        <v>0</v>
      </c>
      <c r="CL47" s="10" t="s">
        <v>303</v>
      </c>
      <c r="CM47" s="10" t="s">
        <v>450</v>
      </c>
      <c r="CN47" s="10" t="s">
        <v>299</v>
      </c>
      <c r="CO47" s="10" t="s">
        <v>299</v>
      </c>
      <c r="CP47" s="10" t="s">
        <v>299</v>
      </c>
      <c r="CQ47" s="10" t="s">
        <v>450</v>
      </c>
      <c r="CR47" s="10" t="s">
        <v>299</v>
      </c>
      <c r="CS47" s="10" t="s">
        <v>298</v>
      </c>
      <c r="CT47" s="10" t="s">
        <v>298</v>
      </c>
      <c r="CU47" s="10" t="s">
        <v>450</v>
      </c>
      <c r="CV47" s="10" t="s">
        <v>299</v>
      </c>
      <c r="CW47" s="10" t="s">
        <v>298</v>
      </c>
      <c r="CX47" s="10" t="s">
        <v>450</v>
      </c>
      <c r="CY47" s="10" t="s">
        <v>450</v>
      </c>
      <c r="CZ47" s="10"/>
      <c r="DA47" s="10" t="s">
        <v>450</v>
      </c>
      <c r="DB47" s="10" t="s">
        <v>450</v>
      </c>
      <c r="DC47" s="10" t="s">
        <v>450</v>
      </c>
      <c r="DD47" s="10" t="s">
        <v>298</v>
      </c>
      <c r="DE47" s="10" t="s">
        <v>299</v>
      </c>
      <c r="DF47" s="10" t="s">
        <v>298</v>
      </c>
      <c r="DG47" s="10" t="s">
        <v>298</v>
      </c>
      <c r="DH47" s="10" t="s">
        <v>298</v>
      </c>
      <c r="DI47" s="10" t="s">
        <v>298</v>
      </c>
      <c r="DJ47" s="1" t="s">
        <v>277</v>
      </c>
      <c r="DK47" s="1" t="s">
        <v>277</v>
      </c>
      <c r="DL47" s="1" t="s">
        <v>278</v>
      </c>
      <c r="DM47" s="1" t="s">
        <v>278</v>
      </c>
      <c r="DN47" s="48" t="s">
        <v>278</v>
      </c>
      <c r="DO47" s="48" t="s">
        <v>278</v>
      </c>
      <c r="DP47" s="1" t="s">
        <v>277</v>
      </c>
      <c r="DQ47" s="17" t="s">
        <v>278</v>
      </c>
      <c r="DR47" s="17" t="s">
        <v>278</v>
      </c>
      <c r="DS47" s="17" t="s">
        <v>278</v>
      </c>
      <c r="DT47" s="1" t="s">
        <v>277</v>
      </c>
      <c r="DU47" s="1" t="s">
        <v>277</v>
      </c>
      <c r="DV47" s="1" t="s">
        <v>277</v>
      </c>
      <c r="DW47" s="1" t="s">
        <v>277</v>
      </c>
      <c r="DX47" s="1" t="s">
        <v>277</v>
      </c>
      <c r="DY47" s="1" t="s">
        <v>277</v>
      </c>
      <c r="DZ47" s="1" t="s">
        <v>277</v>
      </c>
      <c r="EA47" s="1" t="s">
        <v>277</v>
      </c>
      <c r="EB47" s="1" t="s">
        <v>277</v>
      </c>
      <c r="EC47" s="1" t="s">
        <v>277</v>
      </c>
      <c r="ED47" s="1" t="s">
        <v>277</v>
      </c>
      <c r="EE47" s="1" t="s">
        <v>277</v>
      </c>
      <c r="EF47" s="1" t="s">
        <v>277</v>
      </c>
      <c r="EG47" s="1" t="s">
        <v>277</v>
      </c>
      <c r="EH47" s="1" t="s">
        <v>277</v>
      </c>
      <c r="EI47" s="1" t="s">
        <v>277</v>
      </c>
      <c r="EJ47" s="1" t="s">
        <v>277</v>
      </c>
      <c r="EK47" s="1" t="s">
        <v>277</v>
      </c>
      <c r="EL47" s="1" t="s">
        <v>277</v>
      </c>
      <c r="EM47" s="1" t="s">
        <v>277</v>
      </c>
      <c r="EN47" s="1" t="s">
        <v>277</v>
      </c>
      <c r="EO47" s="1" t="s">
        <v>277</v>
      </c>
      <c r="EP47" s="1" t="s">
        <v>277</v>
      </c>
      <c r="EQ47" s="1" t="s">
        <v>277</v>
      </c>
    </row>
    <row r="48" spans="1:147" s="1" customFormat="1" ht="15" customHeight="1">
      <c r="A48" s="30" t="s">
        <v>254</v>
      </c>
      <c r="B48" s="1">
        <v>45</v>
      </c>
      <c r="C48" s="1">
        <v>34</v>
      </c>
      <c r="D48" s="1">
        <v>2015</v>
      </c>
      <c r="E48" s="4" t="s">
        <v>978</v>
      </c>
      <c r="F48" s="4" t="s">
        <v>979</v>
      </c>
      <c r="G48" s="15">
        <v>3</v>
      </c>
      <c r="H48" s="15">
        <v>4</v>
      </c>
      <c r="I48" s="15">
        <v>1</v>
      </c>
      <c r="J48" s="4" t="s">
        <v>980</v>
      </c>
      <c r="K48" t="s">
        <v>981</v>
      </c>
      <c r="L48" s="1" t="s">
        <v>258</v>
      </c>
      <c r="M48" t="s">
        <v>982</v>
      </c>
      <c r="N48" s="10">
        <v>10</v>
      </c>
      <c r="O48" s="1" t="s">
        <v>260</v>
      </c>
      <c r="P48" s="1" t="s">
        <v>261</v>
      </c>
      <c r="Q48" s="1" t="s">
        <v>983</v>
      </c>
      <c r="R48" s="1" t="s">
        <v>1729</v>
      </c>
      <c r="S48" s="1" t="s">
        <v>325</v>
      </c>
      <c r="T48" s="1" t="s">
        <v>264</v>
      </c>
      <c r="U48" s="1" t="s">
        <v>265</v>
      </c>
      <c r="V48" s="1" t="s">
        <v>266</v>
      </c>
      <c r="W48" t="s">
        <v>267</v>
      </c>
      <c r="X48" s="10">
        <v>5.39</v>
      </c>
      <c r="Y48" s="10">
        <v>2.03</v>
      </c>
      <c r="Z48" s="10">
        <v>1.95</v>
      </c>
      <c r="AA48" s="10">
        <v>435</v>
      </c>
      <c r="AB48" s="1" t="s">
        <v>984</v>
      </c>
      <c r="AC48" s="1">
        <v>1984</v>
      </c>
      <c r="AD48" s="1">
        <v>2008</v>
      </c>
      <c r="AE48" s="6">
        <f>22/435*100</f>
        <v>5.057471264367816</v>
      </c>
      <c r="AF48" s="1" t="s">
        <v>269</v>
      </c>
      <c r="AG48" s="1" t="s">
        <v>270</v>
      </c>
      <c r="AH48" s="1" t="s">
        <v>985</v>
      </c>
      <c r="AI48" s="1" t="s">
        <v>272</v>
      </c>
      <c r="AJ48" t="s">
        <v>986</v>
      </c>
      <c r="AK48" s="1" t="s">
        <v>274</v>
      </c>
      <c r="AL48" s="1" t="s">
        <v>987</v>
      </c>
      <c r="AM48" s="1" t="s">
        <v>276</v>
      </c>
      <c r="AN48" s="10" t="s">
        <v>277</v>
      </c>
      <c r="AO48" s="17">
        <v>1</v>
      </c>
      <c r="AP48" s="17">
        <v>7</v>
      </c>
      <c r="AQ48" s="17">
        <v>14</v>
      </c>
      <c r="AR48" s="17">
        <v>2</v>
      </c>
      <c r="AS48" s="17">
        <v>57</v>
      </c>
      <c r="AT48" s="17">
        <v>1769</v>
      </c>
      <c r="AU48" s="17">
        <v>1769</v>
      </c>
      <c r="AV48" s="17">
        <v>2076</v>
      </c>
      <c r="AW48" t="s">
        <v>798</v>
      </c>
      <c r="AX48" t="s">
        <v>988</v>
      </c>
      <c r="AY48" s="1" t="s">
        <v>549</v>
      </c>
      <c r="AZ48" s="1" t="s">
        <v>989</v>
      </c>
      <c r="BA48" t="s">
        <v>990</v>
      </c>
      <c r="BB48" s="1" t="s">
        <v>991</v>
      </c>
      <c r="BC48" s="2" t="s">
        <v>284</v>
      </c>
      <c r="BD48" s="2" t="s">
        <v>277</v>
      </c>
      <c r="BE48" s="3" t="s">
        <v>284</v>
      </c>
      <c r="BF48" s="1" t="s">
        <v>277</v>
      </c>
      <c r="BG48" s="3" t="s">
        <v>553</v>
      </c>
      <c r="BH48" s="1" t="s">
        <v>992</v>
      </c>
      <c r="BI48" s="2" t="s">
        <v>359</v>
      </c>
      <c r="BJ48" s="1" t="s">
        <v>993</v>
      </c>
      <c r="BK48" s="2" t="s">
        <v>284</v>
      </c>
      <c r="BL48" s="2" t="s">
        <v>277</v>
      </c>
      <c r="BM48" t="s">
        <v>284</v>
      </c>
      <c r="BN48" s="2" t="s">
        <v>277</v>
      </c>
      <c r="BO48" s="2" t="s">
        <v>289</v>
      </c>
      <c r="BP48" s="1" t="s">
        <v>994</v>
      </c>
      <c r="BQ48" s="2" t="s">
        <v>362</v>
      </c>
      <c r="BR48" s="1" t="s">
        <v>277</v>
      </c>
      <c r="BS48" s="2" t="s">
        <v>362</v>
      </c>
      <c r="BT48" s="2" t="s">
        <v>277</v>
      </c>
      <c r="BU48" s="2" t="s">
        <v>284</v>
      </c>
      <c r="BV48" s="2" t="s">
        <v>277</v>
      </c>
      <c r="BW48" s="1" t="s">
        <v>284</v>
      </c>
      <c r="BX48" s="1" t="s">
        <v>277</v>
      </c>
      <c r="BY48" s="2" t="s">
        <v>284</v>
      </c>
      <c r="BZ48" s="2" t="s">
        <v>277</v>
      </c>
      <c r="CA48" s="1" t="s">
        <v>995</v>
      </c>
      <c r="CB48" s="14" t="s">
        <v>996</v>
      </c>
      <c r="CC48" s="1" t="s">
        <v>997</v>
      </c>
      <c r="CD48" s="48">
        <f>(111+67+127+197+181+145+170+124+114+130+105+163)/12</f>
        <v>136.16666666666666</v>
      </c>
      <c r="CE48" s="48">
        <f>(200+302)/2</f>
        <v>251</v>
      </c>
      <c r="CF48" s="48">
        <f t="shared" si="1"/>
        <v>0.6482996125699527</v>
      </c>
      <c r="CG48" s="48">
        <f>IF(Data!$CB48="NA",".",Data!$CF48-(1-Data!$CF48))</f>
        <v>0.29659922513990544</v>
      </c>
      <c r="CH48" s="1" t="s">
        <v>277</v>
      </c>
      <c r="CI48" s="17">
        <v>0</v>
      </c>
      <c r="CJ48" s="17">
        <v>1</v>
      </c>
      <c r="CK48" s="17">
        <v>0</v>
      </c>
      <c r="CL48" s="10" t="s">
        <v>303</v>
      </c>
      <c r="CM48" s="10" t="s">
        <v>298</v>
      </c>
      <c r="CN48" s="10" t="s">
        <v>299</v>
      </c>
      <c r="CO48" s="10" t="s">
        <v>299</v>
      </c>
      <c r="CP48" s="10" t="s">
        <v>299</v>
      </c>
      <c r="CQ48" s="10" t="s">
        <v>299</v>
      </c>
      <c r="CR48" s="10" t="s">
        <v>299</v>
      </c>
      <c r="CS48" s="10" t="s">
        <v>298</v>
      </c>
      <c r="CT48" s="10" t="s">
        <v>298</v>
      </c>
      <c r="CU48" s="10" t="s">
        <v>298</v>
      </c>
      <c r="CV48" s="10" t="s">
        <v>298</v>
      </c>
      <c r="CW48" s="10" t="s">
        <v>299</v>
      </c>
      <c r="CX48" s="10" t="s">
        <v>298</v>
      </c>
      <c r="CY48" s="10" t="s">
        <v>298</v>
      </c>
      <c r="CZ48" s="10" t="s">
        <v>300</v>
      </c>
      <c r="DA48" s="10" t="s">
        <v>298</v>
      </c>
      <c r="DB48" s="10" t="s">
        <v>298</v>
      </c>
      <c r="DC48" s="10" t="s">
        <v>298</v>
      </c>
      <c r="DD48" s="10" t="s">
        <v>298</v>
      </c>
      <c r="DE48" s="10" t="s">
        <v>298</v>
      </c>
      <c r="DF48" s="10" t="s">
        <v>298</v>
      </c>
      <c r="DG48" s="10" t="s">
        <v>298</v>
      </c>
      <c r="DH48" s="10" t="s">
        <v>298</v>
      </c>
      <c r="DI48" s="10" t="s">
        <v>298</v>
      </c>
      <c r="DJ48" s="1" t="s">
        <v>277</v>
      </c>
      <c r="DK48" s="1" t="s">
        <v>277</v>
      </c>
      <c r="DL48" s="1" t="s">
        <v>278</v>
      </c>
      <c r="DM48" s="1" t="s">
        <v>278</v>
      </c>
      <c r="DN48" s="48" t="s">
        <v>278</v>
      </c>
      <c r="DO48" s="48" t="s">
        <v>278</v>
      </c>
      <c r="DP48" s="1" t="s">
        <v>277</v>
      </c>
      <c r="DQ48" s="17" t="s">
        <v>278</v>
      </c>
      <c r="DR48" s="17" t="s">
        <v>278</v>
      </c>
      <c r="DS48" s="17" t="s">
        <v>278</v>
      </c>
      <c r="DT48" s="1" t="s">
        <v>277</v>
      </c>
      <c r="DU48" s="1" t="s">
        <v>277</v>
      </c>
      <c r="DV48" s="1" t="s">
        <v>277</v>
      </c>
      <c r="DW48" s="1" t="s">
        <v>277</v>
      </c>
      <c r="DX48" s="1" t="s">
        <v>277</v>
      </c>
      <c r="DY48" s="1" t="s">
        <v>277</v>
      </c>
      <c r="DZ48" s="1" t="s">
        <v>277</v>
      </c>
      <c r="EA48" s="1" t="s">
        <v>277</v>
      </c>
      <c r="EB48" s="1" t="s">
        <v>277</v>
      </c>
      <c r="EC48" s="1" t="s">
        <v>277</v>
      </c>
      <c r="ED48" s="1" t="s">
        <v>277</v>
      </c>
      <c r="EE48" s="1" t="s">
        <v>277</v>
      </c>
      <c r="EF48" s="1" t="s">
        <v>277</v>
      </c>
      <c r="EG48" s="1" t="s">
        <v>277</v>
      </c>
      <c r="EH48" s="1" t="s">
        <v>277</v>
      </c>
      <c r="EI48" s="1" t="s">
        <v>277</v>
      </c>
      <c r="EJ48" s="1" t="s">
        <v>277</v>
      </c>
      <c r="EK48" s="1" t="s">
        <v>277</v>
      </c>
      <c r="EL48" s="1" t="s">
        <v>277</v>
      </c>
      <c r="EM48" s="1" t="s">
        <v>277</v>
      </c>
      <c r="EN48" s="1" t="s">
        <v>277</v>
      </c>
      <c r="EO48" s="1" t="s">
        <v>277</v>
      </c>
      <c r="EP48" s="1" t="s">
        <v>277</v>
      </c>
      <c r="EQ48" s="1" t="s">
        <v>277</v>
      </c>
    </row>
    <row r="49" spans="1:147" s="1" customFormat="1" ht="15" customHeight="1">
      <c r="A49" s="30" t="s">
        <v>254</v>
      </c>
      <c r="B49" s="1">
        <v>46</v>
      </c>
      <c r="C49" s="1">
        <v>35</v>
      </c>
      <c r="D49" s="1">
        <v>2010</v>
      </c>
      <c r="E49" s="1" t="s">
        <v>998</v>
      </c>
      <c r="F49" s="1" t="s">
        <v>999</v>
      </c>
      <c r="G49" s="15">
        <v>2</v>
      </c>
      <c r="H49" s="15">
        <v>3</v>
      </c>
      <c r="I49" s="15">
        <v>1</v>
      </c>
      <c r="J49" s="4" t="s">
        <v>1000</v>
      </c>
      <c r="K49" t="s">
        <v>428</v>
      </c>
      <c r="L49" s="1" t="s">
        <v>258</v>
      </c>
      <c r="M49" s="1" t="s">
        <v>1001</v>
      </c>
      <c r="N49" s="1">
        <v>46</v>
      </c>
      <c r="O49" s="1" t="s">
        <v>260</v>
      </c>
      <c r="P49" s="1" t="s">
        <v>261</v>
      </c>
      <c r="Q49" s="1" t="s">
        <v>1002</v>
      </c>
      <c r="R49" s="1" t="s">
        <v>1727</v>
      </c>
      <c r="S49" s="1" t="s">
        <v>325</v>
      </c>
      <c r="T49" s="1" t="s">
        <v>264</v>
      </c>
      <c r="U49" s="1" t="s">
        <v>346</v>
      </c>
      <c r="V49" s="1" t="s">
        <v>266</v>
      </c>
      <c r="W49" t="s">
        <v>267</v>
      </c>
      <c r="X49" s="10">
        <v>4.01</v>
      </c>
      <c r="Y49" s="10">
        <v>2.09</v>
      </c>
      <c r="Z49" s="10">
        <v>1.94</v>
      </c>
      <c r="AA49" s="10">
        <v>435</v>
      </c>
      <c r="AB49" s="1">
        <v>2008</v>
      </c>
      <c r="AC49" s="1">
        <v>2008</v>
      </c>
      <c r="AD49" s="1">
        <v>2008</v>
      </c>
      <c r="AE49" s="1">
        <v>17</v>
      </c>
      <c r="AF49" s="1" t="s">
        <v>269</v>
      </c>
      <c r="AG49" s="1" t="s">
        <v>270</v>
      </c>
      <c r="AH49" s="1" t="s">
        <v>271</v>
      </c>
      <c r="AI49" s="1" t="s">
        <v>272</v>
      </c>
      <c r="AJ49" t="s">
        <v>1003</v>
      </c>
      <c r="AK49" s="1" t="s">
        <v>274</v>
      </c>
      <c r="AL49" s="1" t="s">
        <v>490</v>
      </c>
      <c r="AM49" t="s">
        <v>375</v>
      </c>
      <c r="AN49" s="10" t="s">
        <v>1004</v>
      </c>
      <c r="AO49" s="17">
        <v>1</v>
      </c>
      <c r="AP49" s="17">
        <v>1</v>
      </c>
      <c r="AQ49" s="17">
        <v>4</v>
      </c>
      <c r="AR49" s="17">
        <v>1</v>
      </c>
      <c r="AS49" s="17">
        <v>25</v>
      </c>
      <c r="AT49" s="17">
        <v>6600</v>
      </c>
      <c r="AU49" s="17">
        <v>6600</v>
      </c>
      <c r="AV49" s="17">
        <v>6600</v>
      </c>
      <c r="AW49" t="s">
        <v>798</v>
      </c>
      <c r="AX49" t="s">
        <v>1005</v>
      </c>
      <c r="AY49" s="1" t="s">
        <v>549</v>
      </c>
      <c r="AZ49" s="1" t="s">
        <v>1006</v>
      </c>
      <c r="BA49" t="s">
        <v>990</v>
      </c>
      <c r="BB49" s="2" t="s">
        <v>1007</v>
      </c>
      <c r="BC49" s="2" t="s">
        <v>284</v>
      </c>
      <c r="BD49" s="2" t="s">
        <v>277</v>
      </c>
      <c r="BE49" s="3" t="s">
        <v>284</v>
      </c>
      <c r="BF49" s="1" t="s">
        <v>1008</v>
      </c>
      <c r="BG49" s="3" t="s">
        <v>553</v>
      </c>
      <c r="BH49" s="1" t="s">
        <v>1009</v>
      </c>
      <c r="BI49" s="2" t="s">
        <v>530</v>
      </c>
      <c r="BJ49" s="1" t="s">
        <v>1010</v>
      </c>
      <c r="BK49" s="2" t="s">
        <v>403</v>
      </c>
      <c r="BL49" s="1" t="s">
        <v>1011</v>
      </c>
      <c r="BM49" t="s">
        <v>289</v>
      </c>
      <c r="BN49" s="2" t="s">
        <v>1012</v>
      </c>
      <c r="BO49" s="2" t="s">
        <v>289</v>
      </c>
      <c r="BP49" s="1" t="s">
        <v>1013</v>
      </c>
      <c r="BQ49" s="2" t="s">
        <v>362</v>
      </c>
      <c r="BR49" s="1" t="s">
        <v>277</v>
      </c>
      <c r="BS49" s="2" t="s">
        <v>1014</v>
      </c>
      <c r="BT49" s="2" t="s">
        <v>1015</v>
      </c>
      <c r="BU49" s="2" t="s">
        <v>289</v>
      </c>
      <c r="BV49" s="2" t="s">
        <v>1016</v>
      </c>
      <c r="BW49" s="1" t="s">
        <v>560</v>
      </c>
      <c r="BX49" s="1" t="s">
        <v>1017</v>
      </c>
      <c r="BY49" s="2" t="s">
        <v>284</v>
      </c>
      <c r="BZ49" s="2" t="s">
        <v>277</v>
      </c>
      <c r="CA49" s="2" t="s">
        <v>277</v>
      </c>
      <c r="CB49" s="1" t="s">
        <v>1018</v>
      </c>
      <c r="CC49" s="1" t="s">
        <v>1019</v>
      </c>
      <c r="CD49" s="48">
        <f>AVERAGE(52.4,34.4,12.4)</f>
        <v>33.06666666666667</v>
      </c>
      <c r="CE49" s="48">
        <f>59.3</f>
        <v>59.3</v>
      </c>
      <c r="CF49" s="48">
        <f t="shared" si="1"/>
        <v>0.6420064958498736</v>
      </c>
      <c r="CG49" s="48">
        <f>IF(Data!$CB49="NA",".",Data!$CF49-(1-Data!$CF49))</f>
        <v>0.28401299169974714</v>
      </c>
      <c r="CH49" s="4" t="s">
        <v>1020</v>
      </c>
      <c r="CI49" s="17">
        <v>0</v>
      </c>
      <c r="CJ49" s="17">
        <v>1</v>
      </c>
      <c r="CK49" s="17">
        <v>0</v>
      </c>
      <c r="CL49" s="10" t="s">
        <v>303</v>
      </c>
      <c r="CM49" s="10" t="s">
        <v>298</v>
      </c>
      <c r="CN49" s="10" t="s">
        <v>299</v>
      </c>
      <c r="CO49" s="10" t="s">
        <v>299</v>
      </c>
      <c r="CP49" s="10" t="s">
        <v>299</v>
      </c>
      <c r="CQ49" s="10" t="s">
        <v>299</v>
      </c>
      <c r="CR49" s="10" t="s">
        <v>299</v>
      </c>
      <c r="CS49" s="10" t="s">
        <v>298</v>
      </c>
      <c r="CT49" s="10" t="s">
        <v>366</v>
      </c>
      <c r="CU49" s="10" t="s">
        <v>298</v>
      </c>
      <c r="CV49" s="10" t="s">
        <v>298</v>
      </c>
      <c r="CW49" s="10" t="s">
        <v>299</v>
      </c>
      <c r="CX49" s="10" t="s">
        <v>299</v>
      </c>
      <c r="CY49" s="10" t="s">
        <v>298</v>
      </c>
      <c r="CZ49" s="10" t="s">
        <v>300</v>
      </c>
      <c r="DA49" s="10" t="s">
        <v>298</v>
      </c>
      <c r="DB49" s="10" t="s">
        <v>298</v>
      </c>
      <c r="DC49" s="10" t="s">
        <v>298</v>
      </c>
      <c r="DD49" s="10" t="s">
        <v>298</v>
      </c>
      <c r="DE49" s="10" t="s">
        <v>298</v>
      </c>
      <c r="DF49" s="10" t="s">
        <v>298</v>
      </c>
      <c r="DG49" s="10" t="s">
        <v>298</v>
      </c>
      <c r="DH49" s="10" t="s">
        <v>298</v>
      </c>
      <c r="DI49" s="10" t="s">
        <v>298</v>
      </c>
      <c r="DJ49" s="1" t="s">
        <v>277</v>
      </c>
      <c r="DK49" s="1" t="s">
        <v>277</v>
      </c>
      <c r="DL49" s="1" t="s">
        <v>278</v>
      </c>
      <c r="DM49" s="1" t="s">
        <v>278</v>
      </c>
      <c r="DN49" s="48" t="s">
        <v>278</v>
      </c>
      <c r="DO49" s="48" t="s">
        <v>278</v>
      </c>
      <c r="DP49" s="1" t="s">
        <v>277</v>
      </c>
      <c r="DQ49" s="17" t="s">
        <v>278</v>
      </c>
      <c r="DR49" s="17" t="s">
        <v>278</v>
      </c>
      <c r="DS49" s="17" t="s">
        <v>278</v>
      </c>
      <c r="DT49" s="1" t="s">
        <v>277</v>
      </c>
      <c r="DU49" s="1" t="s">
        <v>277</v>
      </c>
      <c r="DV49" s="1" t="s">
        <v>277</v>
      </c>
      <c r="DW49" s="1" t="s">
        <v>277</v>
      </c>
      <c r="DX49" s="1" t="s">
        <v>277</v>
      </c>
      <c r="DY49" s="1" t="s">
        <v>277</v>
      </c>
      <c r="DZ49" s="1" t="s">
        <v>277</v>
      </c>
      <c r="EA49" s="1" t="s">
        <v>277</v>
      </c>
      <c r="EB49" s="1" t="s">
        <v>277</v>
      </c>
      <c r="EC49" s="1" t="s">
        <v>277</v>
      </c>
      <c r="ED49" s="1" t="s">
        <v>277</v>
      </c>
      <c r="EE49" s="1" t="s">
        <v>277</v>
      </c>
      <c r="EF49" s="1" t="s">
        <v>277</v>
      </c>
      <c r="EG49" s="1" t="s">
        <v>277</v>
      </c>
      <c r="EH49" s="1" t="s">
        <v>277</v>
      </c>
      <c r="EI49" s="1" t="s">
        <v>277</v>
      </c>
      <c r="EJ49" s="1" t="s">
        <v>277</v>
      </c>
      <c r="EK49" s="1" t="s">
        <v>277</v>
      </c>
      <c r="EL49" s="1" t="s">
        <v>277</v>
      </c>
      <c r="EM49" s="1" t="s">
        <v>277</v>
      </c>
      <c r="EN49" s="1" t="s">
        <v>277</v>
      </c>
      <c r="EO49" s="1" t="s">
        <v>277</v>
      </c>
      <c r="EP49" s="1" t="s">
        <v>277</v>
      </c>
      <c r="EQ49" s="1" t="s">
        <v>277</v>
      </c>
    </row>
    <row r="50" spans="1:147" s="1" customFormat="1" ht="15" customHeight="1">
      <c r="A50" s="30" t="s">
        <v>254</v>
      </c>
      <c r="B50" s="1">
        <v>47</v>
      </c>
      <c r="C50" s="1">
        <v>36</v>
      </c>
      <c r="D50" s="1">
        <v>2010</v>
      </c>
      <c r="E50" s="1" t="s">
        <v>1021</v>
      </c>
      <c r="F50" s="1" t="s">
        <v>1021</v>
      </c>
      <c r="G50" s="15">
        <v>2</v>
      </c>
      <c r="H50" s="15">
        <v>2</v>
      </c>
      <c r="I50" s="15">
        <v>1</v>
      </c>
      <c r="J50" s="4" t="s">
        <v>1022</v>
      </c>
      <c r="K50" s="4" t="s">
        <v>514</v>
      </c>
      <c r="L50" s="1" t="s">
        <v>258</v>
      </c>
      <c r="M50" s="4" t="s">
        <v>1023</v>
      </c>
      <c r="N50" s="1">
        <v>13</v>
      </c>
      <c r="O50" s="1" t="s">
        <v>260</v>
      </c>
      <c r="P50" s="1" t="s">
        <v>261</v>
      </c>
      <c r="Q50" s="1" t="s">
        <v>1002</v>
      </c>
      <c r="S50" s="1" t="s">
        <v>325</v>
      </c>
      <c r="T50" s="1" t="s">
        <v>264</v>
      </c>
      <c r="U50" s="1" t="s">
        <v>346</v>
      </c>
      <c r="V50" s="1" t="s">
        <v>266</v>
      </c>
      <c r="W50" t="s">
        <v>267</v>
      </c>
      <c r="X50" s="10">
        <v>9.67</v>
      </c>
      <c r="Y50" s="10">
        <v>2.02</v>
      </c>
      <c r="Z50" s="10">
        <v>1.79</v>
      </c>
      <c r="AA50" s="10">
        <v>435</v>
      </c>
      <c r="AB50" s="1" t="s">
        <v>1024</v>
      </c>
      <c r="AC50" s="1">
        <v>1976</v>
      </c>
      <c r="AD50" s="1">
        <v>2008</v>
      </c>
      <c r="AE50" s="1" t="s">
        <v>278</v>
      </c>
      <c r="AF50" s="1" t="s">
        <v>269</v>
      </c>
      <c r="AG50" s="1" t="s">
        <v>270</v>
      </c>
      <c r="AH50" s="1" t="s">
        <v>1025</v>
      </c>
      <c r="AI50" s="1" t="s">
        <v>272</v>
      </c>
      <c r="AJ50" t="s">
        <v>1026</v>
      </c>
      <c r="AK50" s="1" t="s">
        <v>373</v>
      </c>
      <c r="AL50" s="1" t="s">
        <v>1027</v>
      </c>
      <c r="AM50" s="1" t="s">
        <v>375</v>
      </c>
      <c r="AN50" s="10" t="s">
        <v>1004</v>
      </c>
      <c r="AO50" s="17">
        <v>1</v>
      </c>
      <c r="AP50" s="17">
        <v>5</v>
      </c>
      <c r="AQ50" s="17">
        <v>5</v>
      </c>
      <c r="AR50" s="17">
        <v>1</v>
      </c>
      <c r="AS50" s="17">
        <v>1</v>
      </c>
      <c r="AT50" s="17">
        <v>5628</v>
      </c>
      <c r="AU50" s="17" t="s">
        <v>278</v>
      </c>
      <c r="AV50" s="17">
        <v>783</v>
      </c>
      <c r="AW50" t="s">
        <v>1028</v>
      </c>
      <c r="AX50" t="s">
        <v>1029</v>
      </c>
      <c r="AY50" s="1" t="s">
        <v>284</v>
      </c>
      <c r="AZ50" s="1" t="s">
        <v>277</v>
      </c>
      <c r="BA50" t="s">
        <v>284</v>
      </c>
      <c r="BB50" s="2" t="s">
        <v>277</v>
      </c>
      <c r="BC50" s="2" t="s">
        <v>853</v>
      </c>
      <c r="BD50" s="2" t="s">
        <v>1030</v>
      </c>
      <c r="BE50" s="3" t="s">
        <v>284</v>
      </c>
      <c r="BF50" s="2" t="s">
        <v>277</v>
      </c>
      <c r="BG50" s="3" t="s">
        <v>284</v>
      </c>
      <c r="BH50" s="2" t="s">
        <v>277</v>
      </c>
      <c r="BI50" s="2" t="s">
        <v>284</v>
      </c>
      <c r="BJ50" s="1" t="s">
        <v>277</v>
      </c>
      <c r="BK50" s="2" t="s">
        <v>284</v>
      </c>
      <c r="BL50" s="2" t="s">
        <v>277</v>
      </c>
      <c r="BM50" t="s">
        <v>284</v>
      </c>
      <c r="BN50" s="2" t="s">
        <v>277</v>
      </c>
      <c r="BO50" s="2" t="s">
        <v>284</v>
      </c>
      <c r="BP50" s="2" t="s">
        <v>277</v>
      </c>
      <c r="BQ50" s="2" t="s">
        <v>362</v>
      </c>
      <c r="BR50" s="1" t="s">
        <v>277</v>
      </c>
      <c r="BS50" s="2" t="s">
        <v>362</v>
      </c>
      <c r="BT50" s="2" t="s">
        <v>277</v>
      </c>
      <c r="BU50" s="2" t="s">
        <v>284</v>
      </c>
      <c r="BV50" s="2" t="s">
        <v>277</v>
      </c>
      <c r="BW50" s="1" t="s">
        <v>284</v>
      </c>
      <c r="BX50" s="1" t="s">
        <v>277</v>
      </c>
      <c r="BY50" s="2" t="s">
        <v>284</v>
      </c>
      <c r="BZ50" s="2" t="s">
        <v>277</v>
      </c>
      <c r="CA50" s="1" t="s">
        <v>1031</v>
      </c>
      <c r="CB50" s="1" t="s">
        <v>277</v>
      </c>
      <c r="CC50" s="1" t="s">
        <v>277</v>
      </c>
      <c r="CD50" s="5" t="s">
        <v>278</v>
      </c>
      <c r="CE50" s="1" t="s">
        <v>278</v>
      </c>
      <c r="CF50" s="5" t="s">
        <v>278</v>
      </c>
      <c r="CG50" s="48" t="str">
        <f>IF(Data!$CB50="NA",".",Data!$CF50-(1-Data!$CF50))</f>
        <v>.</v>
      </c>
      <c r="CH50" s="1" t="s">
        <v>277</v>
      </c>
      <c r="CI50" s="17" t="s">
        <v>278</v>
      </c>
      <c r="CJ50" s="17" t="s">
        <v>278</v>
      </c>
      <c r="CK50" s="17" t="s">
        <v>278</v>
      </c>
      <c r="CL50" s="1" t="s">
        <v>277</v>
      </c>
      <c r="CM50" s="1" t="s">
        <v>277</v>
      </c>
      <c r="CN50" s="1" t="s">
        <v>277</v>
      </c>
      <c r="CO50" s="1" t="s">
        <v>277</v>
      </c>
      <c r="CP50" s="1" t="s">
        <v>277</v>
      </c>
      <c r="CQ50" s="1" t="s">
        <v>277</v>
      </c>
      <c r="CR50" s="1" t="s">
        <v>277</v>
      </c>
      <c r="CS50" s="1" t="s">
        <v>277</v>
      </c>
      <c r="CT50" s="1" t="s">
        <v>277</v>
      </c>
      <c r="CU50" s="1" t="s">
        <v>277</v>
      </c>
      <c r="CV50" s="1" t="s">
        <v>277</v>
      </c>
      <c r="CW50" s="1" t="s">
        <v>277</v>
      </c>
      <c r="CX50" s="1" t="s">
        <v>277</v>
      </c>
      <c r="CY50" s="1" t="s">
        <v>277</v>
      </c>
      <c r="CZ50" s="1" t="s">
        <v>277</v>
      </c>
      <c r="DA50" s="1" t="s">
        <v>277</v>
      </c>
      <c r="DB50" s="1" t="s">
        <v>277</v>
      </c>
      <c r="DC50" s="1" t="s">
        <v>277</v>
      </c>
      <c r="DD50" s="1" t="s">
        <v>277</v>
      </c>
      <c r="DE50" s="1" t="s">
        <v>277</v>
      </c>
      <c r="DF50" s="1" t="s">
        <v>277</v>
      </c>
      <c r="DG50" s="1" t="s">
        <v>277</v>
      </c>
      <c r="DH50" s="1" t="s">
        <v>277</v>
      </c>
      <c r="DI50" s="1" t="s">
        <v>277</v>
      </c>
      <c r="DJ50" s="1" t="s">
        <v>277</v>
      </c>
      <c r="DK50" s="1" t="s">
        <v>277</v>
      </c>
      <c r="DL50" s="1" t="s">
        <v>278</v>
      </c>
      <c r="DM50" s="1" t="s">
        <v>278</v>
      </c>
      <c r="DN50" s="48" t="s">
        <v>278</v>
      </c>
      <c r="DO50" s="48" t="s">
        <v>278</v>
      </c>
      <c r="DP50" s="1" t="s">
        <v>277</v>
      </c>
      <c r="DQ50" s="17" t="s">
        <v>278</v>
      </c>
      <c r="DR50" s="17" t="s">
        <v>278</v>
      </c>
      <c r="DS50" s="17" t="s">
        <v>278</v>
      </c>
      <c r="DT50" s="1" t="s">
        <v>277</v>
      </c>
      <c r="DU50" s="1" t="s">
        <v>277</v>
      </c>
      <c r="DV50" s="1" t="s">
        <v>277</v>
      </c>
      <c r="DW50" s="1" t="s">
        <v>277</v>
      </c>
      <c r="DX50" s="1" t="s">
        <v>277</v>
      </c>
      <c r="DY50" s="1" t="s">
        <v>277</v>
      </c>
      <c r="DZ50" s="1" t="s">
        <v>277</v>
      </c>
      <c r="EA50" s="1" t="s">
        <v>277</v>
      </c>
      <c r="EB50" s="1" t="s">
        <v>277</v>
      </c>
      <c r="EC50" s="1" t="s">
        <v>277</v>
      </c>
      <c r="ED50" s="1" t="s">
        <v>277</v>
      </c>
      <c r="EE50" s="1" t="s">
        <v>277</v>
      </c>
      <c r="EF50" s="1" t="s">
        <v>277</v>
      </c>
      <c r="EG50" s="1" t="s">
        <v>277</v>
      </c>
      <c r="EH50" s="1" t="s">
        <v>277</v>
      </c>
      <c r="EI50" s="1" t="s">
        <v>277</v>
      </c>
      <c r="EJ50" s="1" t="s">
        <v>277</v>
      </c>
      <c r="EK50" s="1" t="s">
        <v>277</v>
      </c>
      <c r="EL50" s="1" t="s">
        <v>277</v>
      </c>
      <c r="EM50" s="1" t="s">
        <v>277</v>
      </c>
      <c r="EN50" s="1" t="s">
        <v>277</v>
      </c>
      <c r="EO50" s="1" t="s">
        <v>277</v>
      </c>
      <c r="EP50" s="1" t="s">
        <v>277</v>
      </c>
      <c r="EQ50" s="1" t="s">
        <v>277</v>
      </c>
    </row>
    <row r="51" spans="1:147" s="1" customFormat="1" ht="15" customHeight="1">
      <c r="A51" s="30" t="s">
        <v>254</v>
      </c>
      <c r="B51" s="1">
        <v>48</v>
      </c>
      <c r="C51" s="1">
        <v>37</v>
      </c>
      <c r="D51" s="1">
        <v>2009</v>
      </c>
      <c r="E51" s="1" t="s">
        <v>1032</v>
      </c>
      <c r="F51" s="1" t="s">
        <v>1032</v>
      </c>
      <c r="G51" s="15">
        <v>2</v>
      </c>
      <c r="H51" s="15">
        <v>2</v>
      </c>
      <c r="I51" s="15">
        <v>1</v>
      </c>
      <c r="J51" s="4" t="s">
        <v>1033</v>
      </c>
      <c r="K51" s="1" t="s">
        <v>1034</v>
      </c>
      <c r="L51" s="1" t="s">
        <v>258</v>
      </c>
      <c r="M51" s="1" t="s">
        <v>1035</v>
      </c>
      <c r="N51" s="1">
        <v>59</v>
      </c>
      <c r="O51" s="1" t="s">
        <v>260</v>
      </c>
      <c r="P51" s="1" t="s">
        <v>261</v>
      </c>
      <c r="Q51" s="1" t="s">
        <v>324</v>
      </c>
      <c r="R51" s="1" t="s">
        <v>324</v>
      </c>
      <c r="S51" s="1" t="s">
        <v>325</v>
      </c>
      <c r="T51" s="1" t="s">
        <v>326</v>
      </c>
      <c r="U51" s="1" t="s">
        <v>265</v>
      </c>
      <c r="V51" s="1" t="s">
        <v>266</v>
      </c>
      <c r="W51" t="s">
        <v>267</v>
      </c>
      <c r="X51" s="10">
        <v>7.89</v>
      </c>
      <c r="Y51" s="10">
        <v>2.08</v>
      </c>
      <c r="Z51" s="10">
        <v>1.91</v>
      </c>
      <c r="AA51" s="10">
        <v>435</v>
      </c>
      <c r="AB51" s="1" t="s">
        <v>1036</v>
      </c>
      <c r="AC51" s="1">
        <v>1990</v>
      </c>
      <c r="AD51" s="1">
        <v>1997</v>
      </c>
      <c r="AE51" s="6">
        <f>29/435*100</f>
        <v>6.666666666666667</v>
      </c>
      <c r="AF51" s="1" t="s">
        <v>269</v>
      </c>
      <c r="AG51" s="1" t="s">
        <v>270</v>
      </c>
      <c r="AH51" s="1" t="s">
        <v>271</v>
      </c>
      <c r="AI51" s="1" t="s">
        <v>272</v>
      </c>
      <c r="AJ51" s="12" t="s">
        <v>1037</v>
      </c>
      <c r="AK51" s="1" t="s">
        <v>274</v>
      </c>
      <c r="AL51" s="1" t="s">
        <v>1038</v>
      </c>
      <c r="AM51" s="1" t="s">
        <v>276</v>
      </c>
      <c r="AN51" s="10" t="s">
        <v>277</v>
      </c>
      <c r="AO51" s="17">
        <v>1</v>
      </c>
      <c r="AP51" s="17">
        <v>27</v>
      </c>
      <c r="AQ51" s="17">
        <v>54</v>
      </c>
      <c r="AR51" s="17">
        <v>27</v>
      </c>
      <c r="AS51" s="17">
        <v>27</v>
      </c>
      <c r="AT51" s="17">
        <v>1365</v>
      </c>
      <c r="AU51" s="17">
        <v>1365</v>
      </c>
      <c r="AV51" s="17">
        <v>2730</v>
      </c>
      <c r="AW51" t="s">
        <v>798</v>
      </c>
      <c r="AX51" t="s">
        <v>988</v>
      </c>
      <c r="AY51" s="1" t="s">
        <v>330</v>
      </c>
      <c r="AZ51" t="s">
        <v>1039</v>
      </c>
      <c r="BA51" t="s">
        <v>284</v>
      </c>
      <c r="BB51" s="2" t="s">
        <v>277</v>
      </c>
      <c r="BC51" s="2" t="s">
        <v>284</v>
      </c>
      <c r="BD51" s="2" t="s">
        <v>277</v>
      </c>
      <c r="BE51" s="3" t="s">
        <v>284</v>
      </c>
      <c r="BF51" s="1" t="s">
        <v>277</v>
      </c>
      <c r="BG51" s="3" t="s">
        <v>289</v>
      </c>
      <c r="BH51" s="1" t="s">
        <v>1040</v>
      </c>
      <c r="BI51" s="2" t="s">
        <v>289</v>
      </c>
      <c r="BJ51" s="1" t="s">
        <v>1040</v>
      </c>
      <c r="BK51" s="2" t="s">
        <v>289</v>
      </c>
      <c r="BL51" s="1" t="s">
        <v>1041</v>
      </c>
      <c r="BM51" t="s">
        <v>289</v>
      </c>
      <c r="BN51" s="28" t="s">
        <v>1042</v>
      </c>
      <c r="BO51" s="2" t="s">
        <v>1043</v>
      </c>
      <c r="BP51" s="1" t="s">
        <v>1044</v>
      </c>
      <c r="BQ51" s="2" t="s">
        <v>362</v>
      </c>
      <c r="BR51" s="28" t="s">
        <v>277</v>
      </c>
      <c r="BS51" s="2" t="s">
        <v>362</v>
      </c>
      <c r="BT51" s="2" t="s">
        <v>277</v>
      </c>
      <c r="BU51" s="2" t="s">
        <v>284</v>
      </c>
      <c r="BV51" s="2" t="s">
        <v>277</v>
      </c>
      <c r="BW51" s="1" t="s">
        <v>284</v>
      </c>
      <c r="BX51" s="1" t="s">
        <v>277</v>
      </c>
      <c r="BY51" s="2" t="s">
        <v>284</v>
      </c>
      <c r="BZ51" s="2" t="s">
        <v>277</v>
      </c>
      <c r="CA51" s="1" t="s">
        <v>1045</v>
      </c>
      <c r="CB51" s="1" t="s">
        <v>1046</v>
      </c>
      <c r="CC51" s="1" t="s">
        <v>1047</v>
      </c>
      <c r="CD51" s="48">
        <v>49.2</v>
      </c>
      <c r="CE51" s="48">
        <v>50.8</v>
      </c>
      <c r="CF51" s="48">
        <f>CD51/(CD51+CE51)</f>
        <v>0.49200000000000005</v>
      </c>
      <c r="CG51" s="48">
        <f>IF(Data!$CB51="NA",".",Data!$CF51-(1-Data!$CF51))</f>
        <v>-0.01599999999999996</v>
      </c>
      <c r="CH51" s="1" t="s">
        <v>277</v>
      </c>
      <c r="CI51" s="17">
        <v>0</v>
      </c>
      <c r="CJ51" s="17">
        <v>0</v>
      </c>
      <c r="CK51" s="17">
        <v>0</v>
      </c>
      <c r="CL51" s="10" t="s">
        <v>303</v>
      </c>
      <c r="CM51" s="10" t="s">
        <v>298</v>
      </c>
      <c r="CN51" s="10" t="s">
        <v>299</v>
      </c>
      <c r="CO51" s="10" t="s">
        <v>299</v>
      </c>
      <c r="CP51" s="10" t="s">
        <v>299</v>
      </c>
      <c r="CQ51" s="10" t="s">
        <v>298</v>
      </c>
      <c r="CR51" s="10" t="s">
        <v>298</v>
      </c>
      <c r="CS51" s="10" t="s">
        <v>298</v>
      </c>
      <c r="CT51" s="10" t="s">
        <v>298</v>
      </c>
      <c r="CU51" s="10" t="s">
        <v>298</v>
      </c>
      <c r="CV51" s="10" t="s">
        <v>298</v>
      </c>
      <c r="CW51" s="10" t="s">
        <v>298</v>
      </c>
      <c r="CX51" s="10" t="s">
        <v>298</v>
      </c>
      <c r="CY51" s="10" t="s">
        <v>298</v>
      </c>
      <c r="CZ51" s="10" t="s">
        <v>300</v>
      </c>
      <c r="DA51" s="10" t="s">
        <v>298</v>
      </c>
      <c r="DB51" s="10" t="s">
        <v>298</v>
      </c>
      <c r="DC51" s="10" t="s">
        <v>298</v>
      </c>
      <c r="DD51" s="10" t="s">
        <v>298</v>
      </c>
      <c r="DE51" s="10" t="s">
        <v>299</v>
      </c>
      <c r="DF51" s="10" t="s">
        <v>298</v>
      </c>
      <c r="DG51" s="10" t="s">
        <v>298</v>
      </c>
      <c r="DH51" s="10" t="s">
        <v>298</v>
      </c>
      <c r="DI51" s="10" t="s">
        <v>298</v>
      </c>
      <c r="DJ51" s="1" t="s">
        <v>277</v>
      </c>
      <c r="DK51" s="1" t="s">
        <v>277</v>
      </c>
      <c r="DL51" s="1" t="s">
        <v>278</v>
      </c>
      <c r="DM51" s="1" t="s">
        <v>278</v>
      </c>
      <c r="DN51" s="48" t="s">
        <v>278</v>
      </c>
      <c r="DO51" s="48" t="s">
        <v>278</v>
      </c>
      <c r="DP51" s="1" t="s">
        <v>277</v>
      </c>
      <c r="DQ51" s="17" t="s">
        <v>278</v>
      </c>
      <c r="DR51" s="17" t="s">
        <v>278</v>
      </c>
      <c r="DS51" s="17" t="s">
        <v>278</v>
      </c>
      <c r="DT51" s="1" t="s">
        <v>277</v>
      </c>
      <c r="DU51" s="1" t="s">
        <v>277</v>
      </c>
      <c r="DV51" s="1" t="s">
        <v>277</v>
      </c>
      <c r="DW51" s="1" t="s">
        <v>277</v>
      </c>
      <c r="DX51" s="1" t="s">
        <v>277</v>
      </c>
      <c r="DY51" s="1" t="s">
        <v>277</v>
      </c>
      <c r="DZ51" s="1" t="s">
        <v>277</v>
      </c>
      <c r="EA51" s="1" t="s">
        <v>277</v>
      </c>
      <c r="EB51" s="1" t="s">
        <v>277</v>
      </c>
      <c r="EC51" s="1" t="s">
        <v>277</v>
      </c>
      <c r="ED51" s="1" t="s">
        <v>277</v>
      </c>
      <c r="EE51" s="1" t="s">
        <v>277</v>
      </c>
      <c r="EF51" s="1" t="s">
        <v>277</v>
      </c>
      <c r="EG51" s="1" t="s">
        <v>277</v>
      </c>
      <c r="EH51" s="1" t="s">
        <v>277</v>
      </c>
      <c r="EI51" s="1" t="s">
        <v>277</v>
      </c>
      <c r="EJ51" s="1" t="s">
        <v>277</v>
      </c>
      <c r="EK51" s="1" t="s">
        <v>277</v>
      </c>
      <c r="EL51" s="1" t="s">
        <v>277</v>
      </c>
      <c r="EM51" s="1" t="s">
        <v>277</v>
      </c>
      <c r="EN51" s="1" t="s">
        <v>277</v>
      </c>
      <c r="EO51" s="1" t="s">
        <v>277</v>
      </c>
      <c r="EP51" s="1" t="s">
        <v>277</v>
      </c>
      <c r="EQ51" s="1" t="s">
        <v>277</v>
      </c>
    </row>
    <row r="52" spans="1:147" s="1" customFormat="1" ht="15" customHeight="1">
      <c r="A52" s="30" t="s">
        <v>254</v>
      </c>
      <c r="B52" s="1">
        <v>49</v>
      </c>
      <c r="C52" s="1">
        <v>38</v>
      </c>
      <c r="D52" s="1">
        <v>2013</v>
      </c>
      <c r="E52" s="1" t="s">
        <v>1048</v>
      </c>
      <c r="F52" s="1" t="s">
        <v>1048</v>
      </c>
      <c r="G52" s="15">
        <v>1</v>
      </c>
      <c r="H52" s="15">
        <v>1</v>
      </c>
      <c r="I52" s="15">
        <v>1</v>
      </c>
      <c r="J52" s="4" t="s">
        <v>1049</v>
      </c>
      <c r="K52" s="1" t="s">
        <v>587</v>
      </c>
      <c r="L52" s="1" t="s">
        <v>258</v>
      </c>
      <c r="M52" s="1" t="s">
        <v>1050</v>
      </c>
      <c r="N52" s="1">
        <v>5</v>
      </c>
      <c r="O52" s="1" t="s">
        <v>260</v>
      </c>
      <c r="P52" s="1" t="s">
        <v>261</v>
      </c>
      <c r="Q52" s="1" t="s">
        <v>1051</v>
      </c>
      <c r="R52" s="1" t="s">
        <v>1744</v>
      </c>
      <c r="S52" s="1" t="s">
        <v>263</v>
      </c>
      <c r="T52" s="1" t="s">
        <v>264</v>
      </c>
      <c r="U52" s="1" t="s">
        <v>265</v>
      </c>
      <c r="V52" s="1" t="s">
        <v>266</v>
      </c>
      <c r="W52" t="s">
        <v>267</v>
      </c>
      <c r="X52" s="10">
        <v>2</v>
      </c>
      <c r="Y52" s="10">
        <v>2.15</v>
      </c>
      <c r="Z52" s="10">
        <v>2</v>
      </c>
      <c r="AA52" s="10">
        <v>435</v>
      </c>
      <c r="AB52" s="1">
        <v>2002</v>
      </c>
      <c r="AC52" s="1">
        <v>2002</v>
      </c>
      <c r="AD52" s="1">
        <v>2002</v>
      </c>
      <c r="AE52" s="1">
        <v>13.8</v>
      </c>
      <c r="AF52" s="1" t="s">
        <v>269</v>
      </c>
      <c r="AG52" s="1" t="s">
        <v>270</v>
      </c>
      <c r="AH52" s="14" t="s">
        <v>1052</v>
      </c>
      <c r="AI52" s="1" t="s">
        <v>605</v>
      </c>
      <c r="AJ52" t="s">
        <v>277</v>
      </c>
      <c r="AK52" s="1" t="s">
        <v>606</v>
      </c>
      <c r="AL52" s="1" t="s">
        <v>1053</v>
      </c>
      <c r="AM52" s="1" t="s">
        <v>276</v>
      </c>
      <c r="AN52" s="10" t="s">
        <v>277</v>
      </c>
      <c r="AO52" s="17">
        <v>1</v>
      </c>
      <c r="AP52" s="17">
        <v>95</v>
      </c>
      <c r="AQ52" s="17">
        <v>172</v>
      </c>
      <c r="AR52" s="17">
        <v>39</v>
      </c>
      <c r="AS52" s="17">
        <v>122</v>
      </c>
      <c r="AT52" s="17">
        <v>752</v>
      </c>
      <c r="AU52" s="17">
        <v>752</v>
      </c>
      <c r="AV52" s="17">
        <v>752</v>
      </c>
      <c r="AW52" t="s">
        <v>1054</v>
      </c>
      <c r="AX52" t="s">
        <v>1055</v>
      </c>
      <c r="AY52" s="1" t="s">
        <v>330</v>
      </c>
      <c r="AZ52" s="1" t="s">
        <v>1056</v>
      </c>
      <c r="BA52" t="s">
        <v>284</v>
      </c>
      <c r="BB52" s="2" t="s">
        <v>277</v>
      </c>
      <c r="BC52" s="2" t="s">
        <v>289</v>
      </c>
      <c r="BD52" s="1" t="s">
        <v>1057</v>
      </c>
      <c r="BE52" s="3" t="s">
        <v>284</v>
      </c>
      <c r="BF52" s="1" t="s">
        <v>277</v>
      </c>
      <c r="BG52" s="3" t="s">
        <v>289</v>
      </c>
      <c r="BH52" s="1" t="s">
        <v>1058</v>
      </c>
      <c r="BI52" s="2" t="s">
        <v>284</v>
      </c>
      <c r="BJ52" s="1" t="s">
        <v>277</v>
      </c>
      <c r="BK52" s="2" t="s">
        <v>289</v>
      </c>
      <c r="BL52" s="1" t="s">
        <v>1059</v>
      </c>
      <c r="BM52" t="s">
        <v>289</v>
      </c>
      <c r="BN52" s="1" t="s">
        <v>1058</v>
      </c>
      <c r="BO52" s="2" t="s">
        <v>289</v>
      </c>
      <c r="BP52" s="1" t="s">
        <v>1060</v>
      </c>
      <c r="BQ52" s="2" t="s">
        <v>336</v>
      </c>
      <c r="BR52" s="1" t="s">
        <v>1061</v>
      </c>
      <c r="BS52" s="2" t="s">
        <v>362</v>
      </c>
      <c r="BT52" s="2" t="s">
        <v>277</v>
      </c>
      <c r="BU52" s="2" t="s">
        <v>284</v>
      </c>
      <c r="BV52" s="2" t="s">
        <v>277</v>
      </c>
      <c r="BW52" s="1" t="s">
        <v>284</v>
      </c>
      <c r="BX52" s="1" t="s">
        <v>277</v>
      </c>
      <c r="BY52" s="2" t="s">
        <v>284</v>
      </c>
      <c r="BZ52" s="2" t="s">
        <v>277</v>
      </c>
      <c r="CA52" s="2" t="s">
        <v>277</v>
      </c>
      <c r="CB52" s="1" t="s">
        <v>1062</v>
      </c>
      <c r="CC52" s="1" t="s">
        <v>1063</v>
      </c>
      <c r="CD52" s="48">
        <v>31.29309</v>
      </c>
      <c r="CE52" s="48">
        <v>31.31175</v>
      </c>
      <c r="CF52" s="48">
        <f>CE52/(CE52+CD52)</f>
        <v>0.5001490300110982</v>
      </c>
      <c r="CG52" s="48">
        <f>IF(Data!$CB52="NA",".",Data!$CF52-(1-Data!$CF52))</f>
        <v>0.0002980600221964558</v>
      </c>
      <c r="CH52" s="1" t="s">
        <v>277</v>
      </c>
      <c r="CI52" s="17">
        <v>0</v>
      </c>
      <c r="CJ52" s="17">
        <v>0</v>
      </c>
      <c r="CK52" s="17">
        <v>0</v>
      </c>
      <c r="CL52" s="10" t="s">
        <v>303</v>
      </c>
      <c r="CM52" s="10" t="s">
        <v>298</v>
      </c>
      <c r="CN52" s="10" t="s">
        <v>299</v>
      </c>
      <c r="CO52" s="10" t="s">
        <v>299</v>
      </c>
      <c r="CP52" s="10" t="s">
        <v>299</v>
      </c>
      <c r="CQ52" s="10" t="s">
        <v>298</v>
      </c>
      <c r="CR52" s="10" t="s">
        <v>298</v>
      </c>
      <c r="CS52" s="10" t="s">
        <v>298</v>
      </c>
      <c r="CT52" s="10" t="s">
        <v>298</v>
      </c>
      <c r="CU52" s="10" t="s">
        <v>298</v>
      </c>
      <c r="CV52" s="10" t="s">
        <v>298</v>
      </c>
      <c r="CW52" s="10" t="s">
        <v>298</v>
      </c>
      <c r="CX52" s="10" t="s">
        <v>298</v>
      </c>
      <c r="CY52" s="10" t="s">
        <v>298</v>
      </c>
      <c r="CZ52" s="10" t="s">
        <v>300</v>
      </c>
      <c r="DA52" s="10" t="s">
        <v>298</v>
      </c>
      <c r="DB52" s="10" t="s">
        <v>298</v>
      </c>
      <c r="DC52" s="10" t="s">
        <v>298</v>
      </c>
      <c r="DD52" s="10" t="s">
        <v>298</v>
      </c>
      <c r="DE52" s="10" t="s">
        <v>298</v>
      </c>
      <c r="DF52" s="10" t="s">
        <v>298</v>
      </c>
      <c r="DG52" s="10" t="s">
        <v>298</v>
      </c>
      <c r="DH52" s="10" t="s">
        <v>298</v>
      </c>
      <c r="DI52" s="10" t="s">
        <v>298</v>
      </c>
      <c r="DJ52" s="1" t="s">
        <v>1064</v>
      </c>
      <c r="DK52" s="1" t="s">
        <v>1065</v>
      </c>
      <c r="DL52" s="1">
        <v>38.619</v>
      </c>
      <c r="DM52" s="1">
        <v>35.529</v>
      </c>
      <c r="DN52" s="48">
        <f>DM52/(DM52+DL52)</f>
        <v>0.4791632950315586</v>
      </c>
      <c r="DO52" s="48">
        <f>DN52-(1-DN52)</f>
        <v>-0.0416734099368829</v>
      </c>
      <c r="DP52" s="1" t="s">
        <v>1066</v>
      </c>
      <c r="DQ52" s="17">
        <v>1</v>
      </c>
      <c r="DR52" s="17">
        <v>0</v>
      </c>
      <c r="DS52" s="17">
        <v>0</v>
      </c>
      <c r="DT52" s="10" t="s">
        <v>303</v>
      </c>
      <c r="DU52" s="10" t="s">
        <v>298</v>
      </c>
      <c r="DV52" s="10" t="s">
        <v>299</v>
      </c>
      <c r="DW52" s="10" t="s">
        <v>299</v>
      </c>
      <c r="DX52" s="10" t="s">
        <v>299</v>
      </c>
      <c r="DY52" s="10" t="s">
        <v>298</v>
      </c>
      <c r="DZ52" s="10" t="s">
        <v>298</v>
      </c>
      <c r="EA52" s="10" t="s">
        <v>298</v>
      </c>
      <c r="EB52" s="10" t="s">
        <v>298</v>
      </c>
      <c r="EC52" t="s">
        <v>450</v>
      </c>
      <c r="ED52" s="10" t="s">
        <v>298</v>
      </c>
      <c r="EE52" t="s">
        <v>450</v>
      </c>
      <c r="EF52" s="10" t="s">
        <v>298</v>
      </c>
      <c r="EG52" s="10" t="s">
        <v>298</v>
      </c>
      <c r="EH52" s="10" t="s">
        <v>299</v>
      </c>
      <c r="EI52" s="10" t="s">
        <v>298</v>
      </c>
      <c r="EJ52" s="10" t="s">
        <v>298</v>
      </c>
      <c r="EK52" s="10" t="s">
        <v>298</v>
      </c>
      <c r="EL52" s="10" t="s">
        <v>298</v>
      </c>
      <c r="EM52" s="10" t="s">
        <v>298</v>
      </c>
      <c r="EN52" s="10" t="s">
        <v>298</v>
      </c>
      <c r="EO52" s="10" t="s">
        <v>298</v>
      </c>
      <c r="EP52" s="10" t="s">
        <v>298</v>
      </c>
      <c r="EQ52" s="10" t="s">
        <v>298</v>
      </c>
    </row>
    <row r="53" spans="1:147" s="1" customFormat="1" ht="15" customHeight="1">
      <c r="A53" s="30" t="s">
        <v>254</v>
      </c>
      <c r="B53" s="1">
        <v>50</v>
      </c>
      <c r="C53" s="1">
        <v>39</v>
      </c>
      <c r="D53" s="1">
        <v>2012</v>
      </c>
      <c r="E53" s="4" t="s">
        <v>1067</v>
      </c>
      <c r="F53" s="4" t="s">
        <v>1067</v>
      </c>
      <c r="G53" s="15">
        <v>1</v>
      </c>
      <c r="H53" s="15">
        <v>1</v>
      </c>
      <c r="I53" s="15">
        <v>1</v>
      </c>
      <c r="J53" s="4" t="s">
        <v>1068</v>
      </c>
      <c r="K53" s="1" t="s">
        <v>1069</v>
      </c>
      <c r="L53" s="1" t="s">
        <v>258</v>
      </c>
      <c r="M53" s="1" t="s">
        <v>1070</v>
      </c>
      <c r="N53" s="1">
        <v>94</v>
      </c>
      <c r="O53" s="1" t="s">
        <v>260</v>
      </c>
      <c r="P53" s="1" t="s">
        <v>261</v>
      </c>
      <c r="Q53" s="1" t="s">
        <v>1071</v>
      </c>
      <c r="R53" s="1" t="s">
        <v>324</v>
      </c>
      <c r="S53" s="1" t="s">
        <v>412</v>
      </c>
      <c r="T53" s="1" t="s">
        <v>413</v>
      </c>
      <c r="U53" s="1" t="s">
        <v>644</v>
      </c>
      <c r="V53" s="1" t="s">
        <v>266</v>
      </c>
      <c r="W53" t="s">
        <v>267</v>
      </c>
      <c r="X53" s="10">
        <v>2.71</v>
      </c>
      <c r="Y53" s="10">
        <v>2.21</v>
      </c>
      <c r="Z53" s="10">
        <v>2.01</v>
      </c>
      <c r="AA53" s="10">
        <v>435</v>
      </c>
      <c r="AB53" s="1" t="s">
        <v>1072</v>
      </c>
      <c r="AC53" s="1">
        <v>1999</v>
      </c>
      <c r="AD53" s="1">
        <v>2008</v>
      </c>
      <c r="AE53" s="1">
        <v>13.3</v>
      </c>
      <c r="AF53" s="1" t="s">
        <v>269</v>
      </c>
      <c r="AG53" s="1" t="s">
        <v>270</v>
      </c>
      <c r="AH53" s="1" t="s">
        <v>1073</v>
      </c>
      <c r="AI53" s="1" t="s">
        <v>272</v>
      </c>
      <c r="AJ53" t="s">
        <v>1074</v>
      </c>
      <c r="AK53" s="1" t="s">
        <v>274</v>
      </c>
      <c r="AL53" s="1" t="s">
        <v>1075</v>
      </c>
      <c r="AM53" t="s">
        <v>375</v>
      </c>
      <c r="AN53" s="10" t="s">
        <v>277</v>
      </c>
      <c r="AO53" s="17">
        <v>1</v>
      </c>
      <c r="AP53" s="17">
        <v>8</v>
      </c>
      <c r="AQ53" s="17">
        <v>12</v>
      </c>
      <c r="AR53" s="17">
        <v>4</v>
      </c>
      <c r="AS53" s="17">
        <v>8</v>
      </c>
      <c r="AT53" s="17">
        <v>706</v>
      </c>
      <c r="AU53" s="17">
        <v>706</v>
      </c>
      <c r="AV53" s="17">
        <v>706</v>
      </c>
      <c r="AW53" t="s">
        <v>798</v>
      </c>
      <c r="AX53" t="s">
        <v>1076</v>
      </c>
      <c r="AY53" s="1" t="s">
        <v>284</v>
      </c>
      <c r="AZ53" s="1" t="s">
        <v>277</v>
      </c>
      <c r="BA53" t="s">
        <v>284</v>
      </c>
      <c r="BB53" s="2" t="s">
        <v>277</v>
      </c>
      <c r="BC53" s="2" t="s">
        <v>284</v>
      </c>
      <c r="BD53" s="2" t="s">
        <v>277</v>
      </c>
      <c r="BE53" s="3" t="s">
        <v>284</v>
      </c>
      <c r="BF53" s="1" t="s">
        <v>277</v>
      </c>
      <c r="BG53" s="3" t="s">
        <v>284</v>
      </c>
      <c r="BH53" s="2" t="s">
        <v>277</v>
      </c>
      <c r="BI53" s="2" t="s">
        <v>284</v>
      </c>
      <c r="BJ53" s="1" t="s">
        <v>277</v>
      </c>
      <c r="BK53" s="2" t="s">
        <v>284</v>
      </c>
      <c r="BL53" s="2" t="s">
        <v>277</v>
      </c>
      <c r="BM53" t="s">
        <v>284</v>
      </c>
      <c r="BN53" s="2" t="s">
        <v>277</v>
      </c>
      <c r="BO53" s="2" t="s">
        <v>284</v>
      </c>
      <c r="BP53" s="1" t="s">
        <v>1077</v>
      </c>
      <c r="BQ53" s="2" t="s">
        <v>1078</v>
      </c>
      <c r="BR53" s="1" t="s">
        <v>1079</v>
      </c>
      <c r="BS53" s="2" t="s">
        <v>1080</v>
      </c>
      <c r="BT53" s="1" t="s">
        <v>1081</v>
      </c>
      <c r="BU53" s="2" t="s">
        <v>284</v>
      </c>
      <c r="BV53" s="2" t="s">
        <v>277</v>
      </c>
      <c r="BW53" s="1" t="s">
        <v>560</v>
      </c>
      <c r="BX53" s="1" t="s">
        <v>1082</v>
      </c>
      <c r="BY53" s="2" t="s">
        <v>284</v>
      </c>
      <c r="BZ53" s="2" t="s">
        <v>277</v>
      </c>
      <c r="CA53" s="1" t="s">
        <v>1083</v>
      </c>
      <c r="CB53" s="1" t="s">
        <v>277</v>
      </c>
      <c r="CC53" s="1" t="s">
        <v>277</v>
      </c>
      <c r="CD53" s="10" t="s">
        <v>278</v>
      </c>
      <c r="CE53" s="10" t="s">
        <v>278</v>
      </c>
      <c r="CF53" s="1" t="s">
        <v>278</v>
      </c>
      <c r="CG53" s="48" t="str">
        <f>IF(Data!$CB53="NA",".",Data!$CF53-(1-Data!$CF53))</f>
        <v>.</v>
      </c>
      <c r="CH53" s="1" t="s">
        <v>277</v>
      </c>
      <c r="CI53" s="17" t="s">
        <v>278</v>
      </c>
      <c r="CJ53" s="17" t="s">
        <v>278</v>
      </c>
      <c r="CK53" s="17" t="s">
        <v>278</v>
      </c>
      <c r="CL53" s="1" t="s">
        <v>277</v>
      </c>
      <c r="CM53" s="1" t="s">
        <v>277</v>
      </c>
      <c r="CN53" s="1" t="s">
        <v>277</v>
      </c>
      <c r="CO53" s="1" t="s">
        <v>277</v>
      </c>
      <c r="CP53" s="1" t="s">
        <v>277</v>
      </c>
      <c r="CQ53" s="1" t="s">
        <v>277</v>
      </c>
      <c r="CR53" s="1" t="s">
        <v>277</v>
      </c>
      <c r="CS53" s="1" t="s">
        <v>277</v>
      </c>
      <c r="CT53" s="1" t="s">
        <v>277</v>
      </c>
      <c r="CU53" s="1" t="s">
        <v>277</v>
      </c>
      <c r="CV53" s="1" t="s">
        <v>277</v>
      </c>
      <c r="CW53" s="1" t="s">
        <v>277</v>
      </c>
      <c r="CX53" s="1" t="s">
        <v>277</v>
      </c>
      <c r="CY53" s="1" t="s">
        <v>277</v>
      </c>
      <c r="CZ53" s="1" t="s">
        <v>277</v>
      </c>
      <c r="DA53" s="1" t="s">
        <v>277</v>
      </c>
      <c r="DB53" s="1" t="s">
        <v>277</v>
      </c>
      <c r="DC53" s="1" t="s">
        <v>277</v>
      </c>
      <c r="DD53" s="1" t="s">
        <v>277</v>
      </c>
      <c r="DE53" s="1" t="s">
        <v>277</v>
      </c>
      <c r="DF53" s="1" t="s">
        <v>277</v>
      </c>
      <c r="DG53" s="1" t="s">
        <v>277</v>
      </c>
      <c r="DH53" s="1" t="s">
        <v>277</v>
      </c>
      <c r="DI53" s="1" t="s">
        <v>277</v>
      </c>
      <c r="DJ53" s="1" t="s">
        <v>277</v>
      </c>
      <c r="DK53" s="1" t="s">
        <v>277</v>
      </c>
      <c r="DN53" s="48"/>
      <c r="DO53" s="48"/>
      <c r="DP53" s="1" t="s">
        <v>277</v>
      </c>
      <c r="DQ53" s="17" t="s">
        <v>278</v>
      </c>
      <c r="DR53" s="17" t="s">
        <v>278</v>
      </c>
      <c r="DS53" s="17" t="s">
        <v>278</v>
      </c>
      <c r="DT53" s="1" t="s">
        <v>277</v>
      </c>
      <c r="DU53" s="1" t="s">
        <v>277</v>
      </c>
      <c r="DV53" s="1" t="s">
        <v>277</v>
      </c>
      <c r="DW53" s="1" t="s">
        <v>277</v>
      </c>
      <c r="DX53" s="1" t="s">
        <v>277</v>
      </c>
      <c r="DY53" s="1" t="s">
        <v>277</v>
      </c>
      <c r="DZ53" s="1" t="s">
        <v>277</v>
      </c>
      <c r="EA53" s="1" t="s">
        <v>277</v>
      </c>
      <c r="EB53" s="1" t="s">
        <v>277</v>
      </c>
      <c r="EC53" s="1" t="s">
        <v>277</v>
      </c>
      <c r="ED53" s="1" t="s">
        <v>277</v>
      </c>
      <c r="EE53" s="1" t="s">
        <v>277</v>
      </c>
      <c r="EF53" s="1" t="s">
        <v>277</v>
      </c>
      <c r="EG53" s="1" t="s">
        <v>277</v>
      </c>
      <c r="EH53" s="1" t="s">
        <v>277</v>
      </c>
      <c r="EI53" s="1" t="s">
        <v>277</v>
      </c>
      <c r="EJ53" s="1" t="s">
        <v>277</v>
      </c>
      <c r="EK53" s="1" t="s">
        <v>277</v>
      </c>
      <c r="EL53" s="1" t="s">
        <v>277</v>
      </c>
      <c r="EM53" s="1" t="s">
        <v>277</v>
      </c>
      <c r="EN53" s="1" t="s">
        <v>277</v>
      </c>
      <c r="EO53" s="1" t="s">
        <v>277</v>
      </c>
      <c r="EP53" s="1" t="s">
        <v>277</v>
      </c>
      <c r="EQ53" s="1" t="s">
        <v>277</v>
      </c>
    </row>
    <row r="54" spans="1:147" s="1" customFormat="1" ht="15" customHeight="1">
      <c r="A54" s="30" t="s">
        <v>254</v>
      </c>
      <c r="B54" s="1">
        <v>51</v>
      </c>
      <c r="C54" s="1">
        <v>40</v>
      </c>
      <c r="D54" s="1">
        <v>2009</v>
      </c>
      <c r="E54" s="4" t="s">
        <v>1084</v>
      </c>
      <c r="F54" s="4" t="s">
        <v>1084</v>
      </c>
      <c r="G54" s="15">
        <v>1</v>
      </c>
      <c r="H54" s="15">
        <v>2</v>
      </c>
      <c r="I54" s="15">
        <v>0</v>
      </c>
      <c r="J54" s="1" t="s">
        <v>1085</v>
      </c>
      <c r="K54" s="1" t="s">
        <v>1086</v>
      </c>
      <c r="L54" s="1" t="s">
        <v>258</v>
      </c>
      <c r="M54" s="1" t="s">
        <v>1087</v>
      </c>
      <c r="N54" s="1">
        <v>37</v>
      </c>
      <c r="O54" s="1" t="s">
        <v>1088</v>
      </c>
      <c r="P54" s="1" t="s">
        <v>642</v>
      </c>
      <c r="Q54" s="1" t="s">
        <v>1089</v>
      </c>
      <c r="S54" s="1" t="s">
        <v>325</v>
      </c>
      <c r="T54" s="1" t="s">
        <v>264</v>
      </c>
      <c r="U54" s="1" t="s">
        <v>265</v>
      </c>
      <c r="V54" t="s">
        <v>1090</v>
      </c>
      <c r="W54" t="s">
        <v>267</v>
      </c>
      <c r="X54" s="10">
        <v>7.08</v>
      </c>
      <c r="Y54" s="10">
        <v>2.36</v>
      </c>
      <c r="Z54" s="10">
        <v>2.02</v>
      </c>
      <c r="AA54" s="10">
        <v>120</v>
      </c>
      <c r="AB54" s="1" t="s">
        <v>1091</v>
      </c>
      <c r="AC54" s="1">
        <v>2005</v>
      </c>
      <c r="AD54" s="1">
        <v>2006</v>
      </c>
      <c r="AE54" s="1">
        <v>15</v>
      </c>
      <c r="AF54" s="1" t="s">
        <v>269</v>
      </c>
      <c r="AG54" s="1" t="s">
        <v>270</v>
      </c>
      <c r="AH54" s="1" t="s">
        <v>271</v>
      </c>
      <c r="AI54" s="1" t="s">
        <v>272</v>
      </c>
      <c r="AJ54" t="s">
        <v>1092</v>
      </c>
      <c r="AK54" s="1" t="s">
        <v>439</v>
      </c>
      <c r="AL54" s="1" t="s">
        <v>1093</v>
      </c>
      <c r="AM54" s="1" t="s">
        <v>646</v>
      </c>
      <c r="AN54" s="10" t="s">
        <v>1094</v>
      </c>
      <c r="AO54" s="17">
        <v>1</v>
      </c>
      <c r="AP54" s="17">
        <v>1</v>
      </c>
      <c r="AQ54" s="17">
        <v>4</v>
      </c>
      <c r="AR54" s="17">
        <v>1</v>
      </c>
      <c r="AS54" s="17">
        <v>3</v>
      </c>
      <c r="AT54" s="17">
        <v>349</v>
      </c>
      <c r="AU54" s="17">
        <v>349</v>
      </c>
      <c r="AV54" s="17">
        <v>349</v>
      </c>
      <c r="AW54" t="s">
        <v>798</v>
      </c>
      <c r="AX54" s="12" t="s">
        <v>1095</v>
      </c>
      <c r="AY54" s="1" t="s">
        <v>284</v>
      </c>
      <c r="AZ54" s="1" t="s">
        <v>277</v>
      </c>
      <c r="BA54" t="s">
        <v>284</v>
      </c>
      <c r="BB54" s="2" t="s">
        <v>277</v>
      </c>
      <c r="BC54" s="2" t="s">
        <v>853</v>
      </c>
      <c r="BD54" s="1" t="s">
        <v>1096</v>
      </c>
      <c r="BE54" s="3" t="s">
        <v>1097</v>
      </c>
      <c r="BF54" s="1" t="s">
        <v>1098</v>
      </c>
      <c r="BG54" s="3" t="s">
        <v>528</v>
      </c>
      <c r="BH54" s="1" t="s">
        <v>1099</v>
      </c>
      <c r="BI54" s="2" t="s">
        <v>359</v>
      </c>
      <c r="BJ54" s="1" t="s">
        <v>1100</v>
      </c>
      <c r="BK54" s="2" t="s">
        <v>289</v>
      </c>
      <c r="BL54" s="1" t="s">
        <v>1101</v>
      </c>
      <c r="BM54" t="s">
        <v>284</v>
      </c>
      <c r="BN54" s="2" t="s">
        <v>277</v>
      </c>
      <c r="BO54" s="2" t="s">
        <v>284</v>
      </c>
      <c r="BP54" s="1" t="s">
        <v>1102</v>
      </c>
      <c r="BQ54" s="2" t="s">
        <v>362</v>
      </c>
      <c r="BR54" s="28" t="s">
        <v>1103</v>
      </c>
      <c r="BS54" s="2" t="s">
        <v>362</v>
      </c>
      <c r="BT54" s="2" t="s">
        <v>277</v>
      </c>
      <c r="BU54" s="2" t="s">
        <v>289</v>
      </c>
      <c r="BV54" s="1" t="s">
        <v>1104</v>
      </c>
      <c r="BW54" s="1" t="s">
        <v>560</v>
      </c>
      <c r="BX54" s="1" t="s">
        <v>1017</v>
      </c>
      <c r="BY54" s="2" t="s">
        <v>284</v>
      </c>
      <c r="BZ54" s="2" t="s">
        <v>277</v>
      </c>
      <c r="CA54" s="2" t="s">
        <v>277</v>
      </c>
      <c r="CB54" s="1" t="s">
        <v>277</v>
      </c>
      <c r="CC54" s="1" t="s">
        <v>277</v>
      </c>
      <c r="CD54" s="10" t="s">
        <v>278</v>
      </c>
      <c r="CE54" s="10" t="s">
        <v>278</v>
      </c>
      <c r="CF54" s="1" t="s">
        <v>278</v>
      </c>
      <c r="CG54" s="48" t="str">
        <f>IF(Data!$CB54="NA",".",Data!$CF54-(1-Data!$CF54))</f>
        <v>.</v>
      </c>
      <c r="CH54" s="1" t="s">
        <v>277</v>
      </c>
      <c r="CI54" s="17" t="s">
        <v>278</v>
      </c>
      <c r="CJ54" s="17" t="s">
        <v>278</v>
      </c>
      <c r="CK54" s="17" t="s">
        <v>278</v>
      </c>
      <c r="CL54" s="1" t="s">
        <v>277</v>
      </c>
      <c r="CM54" s="1" t="s">
        <v>277</v>
      </c>
      <c r="CN54" s="1" t="s">
        <v>277</v>
      </c>
      <c r="CO54" s="1" t="s">
        <v>277</v>
      </c>
      <c r="CP54" s="1" t="s">
        <v>277</v>
      </c>
      <c r="CQ54" s="1" t="s">
        <v>277</v>
      </c>
      <c r="CR54" s="1" t="s">
        <v>277</v>
      </c>
      <c r="CS54" s="1" t="s">
        <v>277</v>
      </c>
      <c r="CT54" s="1" t="s">
        <v>277</v>
      </c>
      <c r="CU54" s="1" t="s">
        <v>277</v>
      </c>
      <c r="CV54" s="1" t="s">
        <v>277</v>
      </c>
      <c r="CW54" s="1" t="s">
        <v>277</v>
      </c>
      <c r="CX54" s="1" t="s">
        <v>277</v>
      </c>
      <c r="CY54" s="1" t="s">
        <v>277</v>
      </c>
      <c r="CZ54" s="1" t="s">
        <v>277</v>
      </c>
      <c r="DA54" s="1" t="s">
        <v>277</v>
      </c>
      <c r="DB54" s="1" t="s">
        <v>277</v>
      </c>
      <c r="DC54" s="1" t="s">
        <v>277</v>
      </c>
      <c r="DD54" s="1" t="s">
        <v>277</v>
      </c>
      <c r="DE54" s="1" t="s">
        <v>277</v>
      </c>
      <c r="DF54" s="1" t="s">
        <v>277</v>
      </c>
      <c r="DG54" s="1" t="s">
        <v>277</v>
      </c>
      <c r="DH54" s="1" t="s">
        <v>277</v>
      </c>
      <c r="DI54" s="1" t="s">
        <v>277</v>
      </c>
      <c r="DJ54" s="1" t="s">
        <v>277</v>
      </c>
      <c r="DK54" s="1" t="s">
        <v>277</v>
      </c>
      <c r="DN54" s="48"/>
      <c r="DO54" s="48"/>
      <c r="DP54" s="1" t="s">
        <v>277</v>
      </c>
      <c r="DQ54" s="17" t="s">
        <v>278</v>
      </c>
      <c r="DR54" s="17" t="s">
        <v>278</v>
      </c>
      <c r="DS54" s="17" t="s">
        <v>278</v>
      </c>
      <c r="DT54" s="1" t="s">
        <v>277</v>
      </c>
      <c r="DU54" s="1" t="s">
        <v>277</v>
      </c>
      <c r="DV54" s="1" t="s">
        <v>277</v>
      </c>
      <c r="DW54" s="1" t="s">
        <v>277</v>
      </c>
      <c r="DX54" s="1" t="s">
        <v>277</v>
      </c>
      <c r="DY54" s="1" t="s">
        <v>277</v>
      </c>
      <c r="DZ54" s="1" t="s">
        <v>277</v>
      </c>
      <c r="EA54" s="1" t="s">
        <v>277</v>
      </c>
      <c r="EB54" s="1" t="s">
        <v>277</v>
      </c>
      <c r="EC54" s="1" t="s">
        <v>277</v>
      </c>
      <c r="ED54" s="1" t="s">
        <v>277</v>
      </c>
      <c r="EE54" s="1" t="s">
        <v>277</v>
      </c>
      <c r="EF54" s="1" t="s">
        <v>277</v>
      </c>
      <c r="EG54" s="1" t="s">
        <v>277</v>
      </c>
      <c r="EH54" s="1" t="s">
        <v>277</v>
      </c>
      <c r="EI54" s="1" t="s">
        <v>277</v>
      </c>
      <c r="EJ54" s="1" t="s">
        <v>277</v>
      </c>
      <c r="EK54" s="1" t="s">
        <v>277</v>
      </c>
      <c r="EL54" s="1" t="s">
        <v>277</v>
      </c>
      <c r="EM54" s="1" t="s">
        <v>277</v>
      </c>
      <c r="EN54" s="1" t="s">
        <v>277</v>
      </c>
      <c r="EO54" s="1" t="s">
        <v>277</v>
      </c>
      <c r="EP54" s="1" t="s">
        <v>277</v>
      </c>
      <c r="EQ54" s="1" t="s">
        <v>277</v>
      </c>
    </row>
    <row r="55" spans="1:147" s="1" customFormat="1" ht="15" customHeight="1">
      <c r="A55" s="30" t="s">
        <v>254</v>
      </c>
      <c r="B55" s="1">
        <v>52</v>
      </c>
      <c r="C55" s="1">
        <v>41</v>
      </c>
      <c r="D55" s="1">
        <v>1999</v>
      </c>
      <c r="E55" s="1" t="s">
        <v>1105</v>
      </c>
      <c r="F55" s="1" t="s">
        <v>1106</v>
      </c>
      <c r="G55" s="15">
        <v>3</v>
      </c>
      <c r="H55" s="15">
        <v>3</v>
      </c>
      <c r="I55" s="15">
        <v>0</v>
      </c>
      <c r="J55" s="1" t="s">
        <v>1107</v>
      </c>
      <c r="K55" s="1" t="s">
        <v>879</v>
      </c>
      <c r="L55" s="1" t="s">
        <v>258</v>
      </c>
      <c r="M55" s="1" t="s">
        <v>1108</v>
      </c>
      <c r="N55" s="1">
        <v>32</v>
      </c>
      <c r="O55" s="1" t="s">
        <v>260</v>
      </c>
      <c r="P55" s="1" t="s">
        <v>261</v>
      </c>
      <c r="Q55" s="1" t="s">
        <v>324</v>
      </c>
      <c r="R55" s="1" t="s">
        <v>324</v>
      </c>
      <c r="S55" s="1" t="s">
        <v>325</v>
      </c>
      <c r="T55" s="1" t="s">
        <v>326</v>
      </c>
      <c r="U55" s="1" t="s">
        <v>265</v>
      </c>
      <c r="V55" s="1" t="s">
        <v>266</v>
      </c>
      <c r="W55" t="s">
        <v>267</v>
      </c>
      <c r="X55" s="10">
        <v>7.08</v>
      </c>
      <c r="Y55" s="10">
        <v>2.14</v>
      </c>
      <c r="Z55" s="10">
        <v>1.94</v>
      </c>
      <c r="AA55" s="10">
        <v>435</v>
      </c>
      <c r="AB55" s="1" t="s">
        <v>1109</v>
      </c>
      <c r="AC55" s="1">
        <v>1993</v>
      </c>
      <c r="AD55" s="1">
        <v>1996</v>
      </c>
      <c r="AE55" s="6">
        <f>48/435*100</f>
        <v>11.03448275862069</v>
      </c>
      <c r="AF55" s="1" t="s">
        <v>269</v>
      </c>
      <c r="AG55" s="1" t="s">
        <v>270</v>
      </c>
      <c r="AH55" s="1" t="s">
        <v>271</v>
      </c>
      <c r="AI55" s="1" t="s">
        <v>272</v>
      </c>
      <c r="AJ55" s="12" t="s">
        <v>1110</v>
      </c>
      <c r="AK55" s="1" t="s">
        <v>274</v>
      </c>
      <c r="AL55" s="1" t="s">
        <v>1111</v>
      </c>
      <c r="AM55" t="s">
        <v>375</v>
      </c>
      <c r="AN55" s="10" t="s">
        <v>277</v>
      </c>
      <c r="AO55" s="17">
        <v>1</v>
      </c>
      <c r="AP55" s="17">
        <v>2</v>
      </c>
      <c r="AQ55" s="17">
        <v>4</v>
      </c>
      <c r="AR55" s="17">
        <v>2</v>
      </c>
      <c r="AS55" s="17">
        <v>9</v>
      </c>
      <c r="AT55" s="17">
        <f>367+276</f>
        <v>643</v>
      </c>
      <c r="AU55" s="17">
        <f>367+276</f>
        <v>643</v>
      </c>
      <c r="AV55" s="17" t="s">
        <v>1112</v>
      </c>
      <c r="AW55" t="s">
        <v>798</v>
      </c>
      <c r="AX55" t="s">
        <v>1113</v>
      </c>
      <c r="AY55" s="1" t="s">
        <v>464</v>
      </c>
      <c r="AZ55" s="1" t="s">
        <v>1114</v>
      </c>
      <c r="BA55" t="s">
        <v>703</v>
      </c>
      <c r="BB55" s="1" t="s">
        <v>1115</v>
      </c>
      <c r="BC55" s="2" t="s">
        <v>284</v>
      </c>
      <c r="BD55" s="1" t="s">
        <v>1116</v>
      </c>
      <c r="BE55" s="3" t="s">
        <v>356</v>
      </c>
      <c r="BF55" s="1" t="s">
        <v>1117</v>
      </c>
      <c r="BG55" s="3" t="s">
        <v>284</v>
      </c>
      <c r="BH55" s="2" t="s">
        <v>277</v>
      </c>
      <c r="BI55" s="2" t="s">
        <v>284</v>
      </c>
      <c r="BJ55" s="1" t="s">
        <v>277</v>
      </c>
      <c r="BK55" s="2" t="s">
        <v>284</v>
      </c>
      <c r="BL55" s="2" t="s">
        <v>277</v>
      </c>
      <c r="BM55" t="s">
        <v>284</v>
      </c>
      <c r="BN55" s="2" t="s">
        <v>277</v>
      </c>
      <c r="BO55" s="2" t="s">
        <v>284</v>
      </c>
      <c r="BP55" s="2" t="s">
        <v>277</v>
      </c>
      <c r="BQ55" s="2" t="s">
        <v>362</v>
      </c>
      <c r="BR55" s="1" t="s">
        <v>277</v>
      </c>
      <c r="BS55" s="2" t="s">
        <v>362</v>
      </c>
      <c r="BT55" s="2" t="s">
        <v>277</v>
      </c>
      <c r="BU55" s="2" t="s">
        <v>284</v>
      </c>
      <c r="BV55" s="2" t="s">
        <v>277</v>
      </c>
      <c r="BW55" s="1" t="s">
        <v>284</v>
      </c>
      <c r="BX55" s="1" t="s">
        <v>277</v>
      </c>
      <c r="BY55" s="2" t="s">
        <v>284</v>
      </c>
      <c r="BZ55" s="2" t="s">
        <v>277</v>
      </c>
      <c r="CA55" s="2" t="s">
        <v>277</v>
      </c>
      <c r="CB55" s="1" t="s">
        <v>1118</v>
      </c>
      <c r="CC55" s="1" t="s">
        <v>1119</v>
      </c>
      <c r="CD55" s="48">
        <f>AVERAGE(19.9,23.4)</f>
        <v>21.65</v>
      </c>
      <c r="CE55" s="48">
        <f>AVERAGE(24.4,31.2)</f>
        <v>27.799999999999997</v>
      </c>
      <c r="CF55" s="48">
        <f>CE55/(CE55+CD55)</f>
        <v>0.5621840242669363</v>
      </c>
      <c r="CG55" s="48">
        <f>IF(Data!$CB55="NA",".",Data!$CF55-(1-Data!$CF55))</f>
        <v>0.12436804853387251</v>
      </c>
      <c r="CH55" s="1" t="s">
        <v>277</v>
      </c>
      <c r="CI55" s="17">
        <v>0</v>
      </c>
      <c r="CJ55" s="17">
        <v>1</v>
      </c>
      <c r="CK55" s="17">
        <v>0</v>
      </c>
      <c r="CL55" s="10" t="s">
        <v>303</v>
      </c>
      <c r="CM55" s="10" t="s">
        <v>298</v>
      </c>
      <c r="CN55" s="10" t="s">
        <v>299</v>
      </c>
      <c r="CO55" s="10" t="s">
        <v>299</v>
      </c>
      <c r="CP55" s="10" t="s">
        <v>299</v>
      </c>
      <c r="CQ55" s="10" t="s">
        <v>299</v>
      </c>
      <c r="CR55" s="10" t="s">
        <v>299</v>
      </c>
      <c r="CS55" s="10" t="s">
        <v>298</v>
      </c>
      <c r="CT55" s="10" t="s">
        <v>538</v>
      </c>
      <c r="CU55" s="10" t="s">
        <v>298</v>
      </c>
      <c r="CV55" s="10" t="s">
        <v>298</v>
      </c>
      <c r="CW55" s="10" t="s">
        <v>298</v>
      </c>
      <c r="CX55" s="10" t="s">
        <v>298</v>
      </c>
      <c r="CY55" s="10" t="s">
        <v>298</v>
      </c>
      <c r="CZ55" s="10" t="s">
        <v>300</v>
      </c>
      <c r="DA55" s="10" t="s">
        <v>298</v>
      </c>
      <c r="DB55" s="10" t="s">
        <v>298</v>
      </c>
      <c r="DC55" s="10" t="s">
        <v>298</v>
      </c>
      <c r="DD55" s="10" t="s">
        <v>298</v>
      </c>
      <c r="DE55" s="10" t="s">
        <v>299</v>
      </c>
      <c r="DF55" s="10" t="s">
        <v>299</v>
      </c>
      <c r="DG55" s="10" t="s">
        <v>298</v>
      </c>
      <c r="DH55" s="10" t="s">
        <v>298</v>
      </c>
      <c r="DI55" s="10" t="s">
        <v>298</v>
      </c>
      <c r="DN55" s="48"/>
      <c r="DO55" s="48"/>
      <c r="DQ55" s="17"/>
      <c r="DR55" s="17"/>
      <c r="DS55" s="17"/>
      <c r="DT55" s="10" t="s">
        <v>303</v>
      </c>
      <c r="DU55" s="10" t="s">
        <v>298</v>
      </c>
      <c r="DV55" s="10" t="s">
        <v>299</v>
      </c>
      <c r="DW55" s="10" t="s">
        <v>299</v>
      </c>
      <c r="DX55" s="10" t="s">
        <v>299</v>
      </c>
      <c r="DY55" s="10"/>
      <c r="DZ55" s="10"/>
      <c r="EA55" s="10"/>
      <c r="EB55" s="10"/>
      <c r="EC55" s="10"/>
      <c r="ED55" s="10"/>
      <c r="EE55" s="10"/>
      <c r="EF55" s="10"/>
      <c r="EG55" s="10"/>
      <c r="EH55" s="10"/>
      <c r="EI55" s="10"/>
      <c r="EJ55" s="10"/>
      <c r="EK55" s="10"/>
      <c r="EL55" s="10"/>
      <c r="EM55" s="10"/>
      <c r="EN55" s="10"/>
      <c r="EO55" s="10" t="s">
        <v>298</v>
      </c>
      <c r="EP55" s="10" t="s">
        <v>298</v>
      </c>
      <c r="EQ55" s="10"/>
    </row>
    <row r="56" spans="1:147" s="1" customFormat="1" ht="15" customHeight="1">
      <c r="A56" s="30" t="s">
        <v>254</v>
      </c>
      <c r="B56" s="1">
        <v>53</v>
      </c>
      <c r="C56" s="1">
        <v>42</v>
      </c>
      <c r="D56" s="1">
        <v>1995</v>
      </c>
      <c r="E56" s="1" t="s">
        <v>1120</v>
      </c>
      <c r="F56" s="1" t="s">
        <v>1120</v>
      </c>
      <c r="G56" s="15">
        <v>0</v>
      </c>
      <c r="H56" s="15">
        <v>1</v>
      </c>
      <c r="I56" s="15">
        <v>0</v>
      </c>
      <c r="J56" t="s">
        <v>1121</v>
      </c>
      <c r="K56" s="1" t="s">
        <v>1122</v>
      </c>
      <c r="L56" s="1" t="s">
        <v>639</v>
      </c>
      <c r="M56" s="1" t="s">
        <v>1123</v>
      </c>
      <c r="N56" s="1">
        <v>15</v>
      </c>
      <c r="O56" s="1" t="s">
        <v>501</v>
      </c>
      <c r="P56" s="1" t="s">
        <v>502</v>
      </c>
      <c r="Q56" s="1" t="s">
        <v>1124</v>
      </c>
      <c r="S56" s="1" t="s">
        <v>412</v>
      </c>
      <c r="T56" s="1" t="s">
        <v>413</v>
      </c>
      <c r="U56" s="1" t="s">
        <v>790</v>
      </c>
      <c r="V56" s="1" t="s">
        <v>503</v>
      </c>
      <c r="W56" t="s">
        <v>267</v>
      </c>
      <c r="X56" s="10">
        <v>17.67</v>
      </c>
      <c r="Y56" s="10">
        <v>3.93</v>
      </c>
      <c r="Z56" s="10">
        <v>2.35</v>
      </c>
      <c r="AA56" s="10">
        <v>295</v>
      </c>
      <c r="AB56" s="1">
        <v>1991</v>
      </c>
      <c r="AC56" s="1">
        <v>1991</v>
      </c>
      <c r="AD56" s="1">
        <v>1991</v>
      </c>
      <c r="AE56" s="1">
        <v>13.3</v>
      </c>
      <c r="AF56" s="1" t="s">
        <v>664</v>
      </c>
      <c r="AG56" s="1" t="s">
        <v>270</v>
      </c>
      <c r="AH56" s="1" t="s">
        <v>1125</v>
      </c>
      <c r="AI56" s="1" t="s">
        <v>272</v>
      </c>
      <c r="AJ56" s="1" t="s">
        <v>1126</v>
      </c>
      <c r="AK56" s="1" t="s">
        <v>274</v>
      </c>
      <c r="AL56" s="1" t="s">
        <v>490</v>
      </c>
      <c r="AM56" t="s">
        <v>375</v>
      </c>
      <c r="AN56" s="1" t="s">
        <v>277</v>
      </c>
      <c r="AO56" s="17">
        <v>1</v>
      </c>
      <c r="AP56" s="17">
        <v>0</v>
      </c>
      <c r="AQ56" s="17" t="s">
        <v>278</v>
      </c>
      <c r="AR56" s="17" t="s">
        <v>278</v>
      </c>
      <c r="AS56" s="17">
        <v>3</v>
      </c>
      <c r="AT56" s="17">
        <v>3662</v>
      </c>
      <c r="AU56" s="17">
        <v>3662</v>
      </c>
      <c r="AV56" s="17" t="s">
        <v>278</v>
      </c>
      <c r="AW56" s="1" t="s">
        <v>547</v>
      </c>
      <c r="AX56" s="1" t="s">
        <v>1127</v>
      </c>
      <c r="AY56" s="1" t="s">
        <v>282</v>
      </c>
      <c r="AZ56" s="1" t="s">
        <v>1128</v>
      </c>
      <c r="BA56" t="s">
        <v>284</v>
      </c>
      <c r="BB56" s="2" t="s">
        <v>1129</v>
      </c>
      <c r="BC56" s="2" t="s">
        <v>284</v>
      </c>
      <c r="BD56" s="2" t="s">
        <v>277</v>
      </c>
      <c r="BE56" s="3" t="s">
        <v>284</v>
      </c>
      <c r="BF56" s="2" t="s">
        <v>277</v>
      </c>
      <c r="BG56" t="s">
        <v>284</v>
      </c>
      <c r="BH56" s="2" t="s">
        <v>277</v>
      </c>
      <c r="BI56" s="2" t="s">
        <v>284</v>
      </c>
      <c r="BJ56" s="1" t="s">
        <v>277</v>
      </c>
      <c r="BK56" t="s">
        <v>284</v>
      </c>
      <c r="BL56" s="2" t="s">
        <v>277</v>
      </c>
      <c r="BM56" t="s">
        <v>284</v>
      </c>
      <c r="BN56" s="2" t="s">
        <v>277</v>
      </c>
      <c r="BO56" s="2" t="s">
        <v>284</v>
      </c>
      <c r="BP56" s="2" t="s">
        <v>277</v>
      </c>
      <c r="BQ56" s="2" t="s">
        <v>362</v>
      </c>
      <c r="BR56" s="1" t="s">
        <v>277</v>
      </c>
      <c r="BS56" s="2" t="s">
        <v>362</v>
      </c>
      <c r="BT56" s="2" t="s">
        <v>277</v>
      </c>
      <c r="BU56" s="2" t="s">
        <v>284</v>
      </c>
      <c r="BV56" s="2" t="s">
        <v>277</v>
      </c>
      <c r="BW56" s="1" t="s">
        <v>284</v>
      </c>
      <c r="BX56" s="1" t="s">
        <v>277</v>
      </c>
      <c r="BY56" s="2" t="s">
        <v>284</v>
      </c>
      <c r="BZ56" s="2" t="s">
        <v>277</v>
      </c>
      <c r="CA56" s="2" t="s">
        <v>277</v>
      </c>
      <c r="CB56" s="1" t="s">
        <v>277</v>
      </c>
      <c r="CC56" s="1" t="s">
        <v>277</v>
      </c>
      <c r="CD56" s="10" t="s">
        <v>278</v>
      </c>
      <c r="CE56" s="10" t="s">
        <v>278</v>
      </c>
      <c r="CF56" s="1" t="s">
        <v>278</v>
      </c>
      <c r="CG56" s="48" t="str">
        <f>IF(Data!$CB56="NA",".",Data!$CF56-(1-Data!$CF56))</f>
        <v>.</v>
      </c>
      <c r="CH56" s="1" t="s">
        <v>277</v>
      </c>
      <c r="CI56" s="17" t="s">
        <v>278</v>
      </c>
      <c r="CJ56" s="17" t="s">
        <v>278</v>
      </c>
      <c r="CK56" s="17" t="s">
        <v>278</v>
      </c>
      <c r="CL56" s="1" t="s">
        <v>277</v>
      </c>
      <c r="CM56" s="1" t="s">
        <v>277</v>
      </c>
      <c r="CN56" s="1" t="s">
        <v>277</v>
      </c>
      <c r="CO56" s="1" t="s">
        <v>277</v>
      </c>
      <c r="CP56" s="1" t="s">
        <v>277</v>
      </c>
      <c r="CQ56" s="1" t="s">
        <v>277</v>
      </c>
      <c r="CR56" s="1" t="s">
        <v>277</v>
      </c>
      <c r="CS56" s="1" t="s">
        <v>277</v>
      </c>
      <c r="CT56" s="10"/>
      <c r="CU56" s="1" t="s">
        <v>277</v>
      </c>
      <c r="CV56" s="1" t="s">
        <v>277</v>
      </c>
      <c r="CW56" s="1" t="s">
        <v>277</v>
      </c>
      <c r="CX56" s="1" t="s">
        <v>277</v>
      </c>
      <c r="CY56" s="1" t="s">
        <v>277</v>
      </c>
      <c r="CZ56" s="1" t="s">
        <v>277</v>
      </c>
      <c r="DA56" s="1" t="s">
        <v>277</v>
      </c>
      <c r="DB56" s="1" t="s">
        <v>277</v>
      </c>
      <c r="DC56" s="1" t="s">
        <v>277</v>
      </c>
      <c r="DD56" s="1" t="s">
        <v>277</v>
      </c>
      <c r="DE56" s="1" t="s">
        <v>277</v>
      </c>
      <c r="DF56" s="1" t="s">
        <v>277</v>
      </c>
      <c r="DG56" s="1" t="s">
        <v>277</v>
      </c>
      <c r="DH56" s="1" t="s">
        <v>277</v>
      </c>
      <c r="DI56" s="1" t="s">
        <v>277</v>
      </c>
      <c r="DJ56" s="1" t="s">
        <v>277</v>
      </c>
      <c r="DK56" s="1" t="s">
        <v>277</v>
      </c>
      <c r="DN56" s="48" t="s">
        <v>278</v>
      </c>
      <c r="DO56" s="48" t="s">
        <v>278</v>
      </c>
      <c r="DP56" s="1" t="s">
        <v>277</v>
      </c>
      <c r="DQ56" s="17" t="s">
        <v>278</v>
      </c>
      <c r="DR56" s="17" t="s">
        <v>278</v>
      </c>
      <c r="DS56" s="17" t="s">
        <v>278</v>
      </c>
      <c r="DT56" s="1" t="s">
        <v>277</v>
      </c>
      <c r="DU56" s="1" t="s">
        <v>277</v>
      </c>
      <c r="DV56" s="1" t="s">
        <v>277</v>
      </c>
      <c r="DW56" s="1" t="s">
        <v>277</v>
      </c>
      <c r="DX56" s="1" t="s">
        <v>277</v>
      </c>
      <c r="DY56" s="1" t="s">
        <v>277</v>
      </c>
      <c r="DZ56" s="1" t="s">
        <v>277</v>
      </c>
      <c r="EA56" s="1" t="s">
        <v>277</v>
      </c>
      <c r="EB56" s="10"/>
      <c r="EC56" s="1" t="s">
        <v>277</v>
      </c>
      <c r="ED56" s="1" t="s">
        <v>277</v>
      </c>
      <c r="EE56" s="1" t="s">
        <v>277</v>
      </c>
      <c r="EF56" s="1" t="s">
        <v>277</v>
      </c>
      <c r="EG56" s="1" t="s">
        <v>277</v>
      </c>
      <c r="EH56" s="1" t="s">
        <v>277</v>
      </c>
      <c r="EI56" s="1" t="s">
        <v>277</v>
      </c>
      <c r="EJ56" s="1" t="s">
        <v>277</v>
      </c>
      <c r="EK56" s="1" t="s">
        <v>277</v>
      </c>
      <c r="EL56" s="1" t="s">
        <v>277</v>
      </c>
      <c r="EM56" s="1" t="s">
        <v>277</v>
      </c>
      <c r="EN56" s="1" t="s">
        <v>277</v>
      </c>
      <c r="EO56" s="1" t="s">
        <v>277</v>
      </c>
      <c r="EP56" s="1" t="s">
        <v>277</v>
      </c>
      <c r="EQ56" s="1" t="s">
        <v>277</v>
      </c>
    </row>
    <row r="57" spans="1:147" s="1" customFormat="1" ht="15" customHeight="1">
      <c r="A57" s="30" t="s">
        <v>1130</v>
      </c>
      <c r="B57" s="1">
        <v>54</v>
      </c>
      <c r="C57" s="1">
        <v>43</v>
      </c>
      <c r="D57" s="1">
        <v>2001</v>
      </c>
      <c r="E57" s="1" t="s">
        <v>1131</v>
      </c>
      <c r="F57" s="1" t="s">
        <v>1131</v>
      </c>
      <c r="G57" s="15">
        <v>1</v>
      </c>
      <c r="H57" s="15">
        <v>1</v>
      </c>
      <c r="I57" s="15">
        <v>1</v>
      </c>
      <c r="J57" t="s">
        <v>1132</v>
      </c>
      <c r="K57" s="1" t="s">
        <v>879</v>
      </c>
      <c r="L57" s="1" t="s">
        <v>258</v>
      </c>
      <c r="M57" s="1" t="s">
        <v>1133</v>
      </c>
      <c r="N57" s="1">
        <v>15</v>
      </c>
      <c r="O57" s="1" t="s">
        <v>260</v>
      </c>
      <c r="P57" s="1" t="s">
        <v>261</v>
      </c>
      <c r="Q57" s="1" t="s">
        <v>1134</v>
      </c>
      <c r="R57" s="1" t="s">
        <v>1745</v>
      </c>
      <c r="S57" s="1" t="s">
        <v>263</v>
      </c>
      <c r="T57" s="1" t="s">
        <v>326</v>
      </c>
      <c r="U57" s="1" t="s">
        <v>265</v>
      </c>
      <c r="V57" s="1" t="s">
        <v>266</v>
      </c>
      <c r="W57" t="s">
        <v>267</v>
      </c>
      <c r="X57" s="10">
        <v>3.21</v>
      </c>
      <c r="Y57" s="10">
        <v>2.18</v>
      </c>
      <c r="Z57" s="10">
        <v>2</v>
      </c>
      <c r="AA57" s="10">
        <v>435</v>
      </c>
      <c r="AB57" s="1">
        <v>1996</v>
      </c>
      <c r="AC57" s="1">
        <v>1996</v>
      </c>
      <c r="AD57" s="1">
        <v>1996</v>
      </c>
      <c r="AE57" s="6">
        <f>50/435*100</f>
        <v>11.494252873563218</v>
      </c>
      <c r="AF57" s="1" t="s">
        <v>269</v>
      </c>
      <c r="AG57" s="1" t="s">
        <v>270</v>
      </c>
      <c r="AH57" s="1" t="s">
        <v>271</v>
      </c>
      <c r="AI57" s="1" t="s">
        <v>272</v>
      </c>
      <c r="AJ57" s="1" t="s">
        <v>1135</v>
      </c>
      <c r="AK57" s="1" t="s">
        <v>274</v>
      </c>
      <c r="AL57" s="1" t="s">
        <v>1136</v>
      </c>
      <c r="AM57" t="s">
        <v>375</v>
      </c>
      <c r="AN57" s="10" t="s">
        <v>277</v>
      </c>
      <c r="AO57" s="18">
        <v>1</v>
      </c>
      <c r="AP57" s="18">
        <v>21</v>
      </c>
      <c r="AQ57" s="18">
        <v>42</v>
      </c>
      <c r="AR57" s="18" t="s">
        <v>278</v>
      </c>
      <c r="AS57" s="18" t="s">
        <v>278</v>
      </c>
      <c r="AT57" s="18">
        <v>626</v>
      </c>
      <c r="AU57" s="18">
        <v>2086</v>
      </c>
      <c r="AV57" s="18">
        <v>2086</v>
      </c>
      <c r="AW57" t="s">
        <v>462</v>
      </c>
      <c r="AX57" s="1" t="s">
        <v>523</v>
      </c>
      <c r="AY57" s="1" t="s">
        <v>330</v>
      </c>
      <c r="AZ57" s="1" t="s">
        <v>1137</v>
      </c>
      <c r="BA57" t="s">
        <v>284</v>
      </c>
      <c r="BB57" s="2" t="s">
        <v>277</v>
      </c>
      <c r="BC57" s="2" t="s">
        <v>289</v>
      </c>
      <c r="BD57" s="2" t="s">
        <v>1138</v>
      </c>
      <c r="BE57" s="3" t="s">
        <v>284</v>
      </c>
      <c r="BF57" s="2" t="s">
        <v>277</v>
      </c>
      <c r="BG57" s="3" t="s">
        <v>289</v>
      </c>
      <c r="BH57" s="2" t="s">
        <v>1139</v>
      </c>
      <c r="BI57" s="2" t="s">
        <v>284</v>
      </c>
      <c r="BJ57" s="2" t="s">
        <v>277</v>
      </c>
      <c r="BK57" s="2" t="s">
        <v>403</v>
      </c>
      <c r="BL57" s="2" t="s">
        <v>1140</v>
      </c>
      <c r="BM57" t="s">
        <v>289</v>
      </c>
      <c r="BN57" t="s">
        <v>1141</v>
      </c>
      <c r="BO57" s="2" t="s">
        <v>289</v>
      </c>
      <c r="BP57" s="2" t="s">
        <v>1142</v>
      </c>
      <c r="BQ57" s="2" t="s">
        <v>318</v>
      </c>
      <c r="BR57" s="28" t="s">
        <v>1143</v>
      </c>
      <c r="BS57" s="2" t="s">
        <v>362</v>
      </c>
      <c r="BT57" s="2" t="s">
        <v>277</v>
      </c>
      <c r="BU57" s="2" t="s">
        <v>284</v>
      </c>
      <c r="BV57" s="2" t="s">
        <v>277</v>
      </c>
      <c r="BW57" s="1" t="s">
        <v>284</v>
      </c>
      <c r="BX57" s="1" t="s">
        <v>277</v>
      </c>
      <c r="BY57" s="2" t="s">
        <v>284</v>
      </c>
      <c r="BZ57" s="2" t="s">
        <v>277</v>
      </c>
      <c r="CA57" s="2" t="s">
        <v>277</v>
      </c>
      <c r="CB57" s="1" t="s">
        <v>1144</v>
      </c>
      <c r="CC57" s="7" t="s">
        <v>1145</v>
      </c>
      <c r="CD57" s="48">
        <v>218.23</v>
      </c>
      <c r="CE57" s="48">
        <v>282.11</v>
      </c>
      <c r="CF57" s="48">
        <f>282.11/(282.11+218.23)</f>
        <v>0.5638365911180397</v>
      </c>
      <c r="CG57" s="48">
        <f>IF(Data!$CB57="NA",".",Data!$CF57-(1-Data!$CF57))</f>
        <v>0.12767318223607949</v>
      </c>
      <c r="CH57" s="1" t="s">
        <v>277</v>
      </c>
      <c r="CI57" s="17">
        <v>0</v>
      </c>
      <c r="CJ57" s="17">
        <v>0</v>
      </c>
      <c r="CK57" s="17">
        <v>0</v>
      </c>
      <c r="CL57" s="10" t="s">
        <v>303</v>
      </c>
      <c r="CM57" s="10" t="s">
        <v>298</v>
      </c>
      <c r="CN57" s="10" t="s">
        <v>299</v>
      </c>
      <c r="CO57" s="10" t="s">
        <v>299</v>
      </c>
      <c r="CP57" s="10" t="s">
        <v>299</v>
      </c>
      <c r="CQ57" s="10" t="s">
        <v>299</v>
      </c>
      <c r="CR57" s="10" t="s">
        <v>299</v>
      </c>
      <c r="CS57" s="10" t="s">
        <v>298</v>
      </c>
      <c r="CT57" s="10" t="s">
        <v>298</v>
      </c>
      <c r="CU57" s="43" t="s">
        <v>298</v>
      </c>
      <c r="CV57" s="10" t="s">
        <v>298</v>
      </c>
      <c r="CW57" s="10" t="s">
        <v>298</v>
      </c>
      <c r="CX57" s="10" t="s">
        <v>298</v>
      </c>
      <c r="CY57" s="10" t="s">
        <v>298</v>
      </c>
      <c r="CZ57" s="10" t="s">
        <v>300</v>
      </c>
      <c r="DA57" s="10" t="s">
        <v>298</v>
      </c>
      <c r="DB57" s="10" t="s">
        <v>298</v>
      </c>
      <c r="DC57" s="10" t="s">
        <v>298</v>
      </c>
      <c r="DD57" s="10" t="s">
        <v>298</v>
      </c>
      <c r="DE57" s="10" t="s">
        <v>298</v>
      </c>
      <c r="DF57" s="10" t="s">
        <v>298</v>
      </c>
      <c r="DG57" s="10" t="s">
        <v>298</v>
      </c>
      <c r="DH57" s="10" t="s">
        <v>298</v>
      </c>
      <c r="DI57" s="10" t="s">
        <v>298</v>
      </c>
      <c r="DJ57" s="68" t="s">
        <v>1146</v>
      </c>
      <c r="DK57" s="69" t="s">
        <v>1147</v>
      </c>
      <c r="DL57" s="69" t="s">
        <v>278</v>
      </c>
      <c r="DM57" s="7" t="s">
        <v>278</v>
      </c>
      <c r="DN57" s="48">
        <v>0.46</v>
      </c>
      <c r="DO57" s="48">
        <f>DN57-(1-DN57)</f>
        <v>-0.08000000000000002</v>
      </c>
      <c r="DP57" s="1" t="s">
        <v>278</v>
      </c>
      <c r="DQ57" s="17">
        <v>0</v>
      </c>
      <c r="DR57" s="17">
        <v>1</v>
      </c>
      <c r="DS57" s="17">
        <v>0</v>
      </c>
      <c r="DT57" s="10" t="s">
        <v>303</v>
      </c>
      <c r="DU57" s="10" t="s">
        <v>298</v>
      </c>
      <c r="DV57" s="10" t="s">
        <v>299</v>
      </c>
      <c r="DW57" s="10" t="s">
        <v>299</v>
      </c>
      <c r="DX57" s="10" t="s">
        <v>299</v>
      </c>
      <c r="DY57" s="10" t="s">
        <v>299</v>
      </c>
      <c r="DZ57" s="10" t="s">
        <v>299</v>
      </c>
      <c r="EA57" s="10" t="s">
        <v>298</v>
      </c>
      <c r="EB57" s="10" t="s">
        <v>298</v>
      </c>
      <c r="EC57" s="43" t="s">
        <v>450</v>
      </c>
      <c r="ED57" s="10" t="s">
        <v>298</v>
      </c>
      <c r="EE57" s="10" t="s">
        <v>298</v>
      </c>
      <c r="EF57" s="10" t="s">
        <v>298</v>
      </c>
      <c r="EG57" s="10" t="s">
        <v>298</v>
      </c>
      <c r="EH57" s="10" t="s">
        <v>300</v>
      </c>
      <c r="EI57" s="10" t="s">
        <v>298</v>
      </c>
      <c r="EJ57" s="10" t="s">
        <v>298</v>
      </c>
      <c r="EK57" s="10" t="s">
        <v>298</v>
      </c>
      <c r="EL57" s="10" t="s">
        <v>298</v>
      </c>
      <c r="EM57" s="10" t="s">
        <v>298</v>
      </c>
      <c r="EN57" s="10" t="s">
        <v>298</v>
      </c>
      <c r="EO57" s="10" t="s">
        <v>298</v>
      </c>
      <c r="EP57" s="10" t="s">
        <v>298</v>
      </c>
      <c r="EQ57" s="70" t="s">
        <v>298</v>
      </c>
    </row>
    <row r="58" spans="1:147" s="1" customFormat="1" ht="15" customHeight="1">
      <c r="A58" s="30" t="s">
        <v>1130</v>
      </c>
      <c r="B58" s="1">
        <v>55</v>
      </c>
      <c r="C58" s="1">
        <v>44</v>
      </c>
      <c r="D58" s="1">
        <v>1998</v>
      </c>
      <c r="E58" s="1" t="s">
        <v>1148</v>
      </c>
      <c r="F58" s="1" t="s">
        <v>1149</v>
      </c>
      <c r="G58" s="15">
        <v>3</v>
      </c>
      <c r="H58" s="15">
        <v>3</v>
      </c>
      <c r="I58" s="15">
        <v>1</v>
      </c>
      <c r="J58" t="s">
        <v>1150</v>
      </c>
      <c r="K58" t="s">
        <v>1151</v>
      </c>
      <c r="L58" s="1" t="s">
        <v>258</v>
      </c>
      <c r="M58" s="1" t="s">
        <v>1152</v>
      </c>
      <c r="N58" s="1">
        <v>35</v>
      </c>
      <c r="O58" s="1" t="s">
        <v>260</v>
      </c>
      <c r="P58" s="1" t="s">
        <v>261</v>
      </c>
      <c r="Q58" s="1" t="s">
        <v>324</v>
      </c>
      <c r="S58" s="1" t="s">
        <v>325</v>
      </c>
      <c r="T58" s="1" t="s">
        <v>326</v>
      </c>
      <c r="U58" s="1" t="s">
        <v>346</v>
      </c>
      <c r="V58" s="1" t="s">
        <v>266</v>
      </c>
      <c r="W58" t="s">
        <v>267</v>
      </c>
      <c r="X58" s="10">
        <v>7.08</v>
      </c>
      <c r="Y58" s="10">
        <v>2.14</v>
      </c>
      <c r="Z58" s="10">
        <v>1.94</v>
      </c>
      <c r="AA58" s="10">
        <v>435</v>
      </c>
      <c r="AB58" s="1" t="s">
        <v>663</v>
      </c>
      <c r="AC58" s="1">
        <v>1993</v>
      </c>
      <c r="AD58" s="1">
        <v>1994</v>
      </c>
      <c r="AE58" s="6">
        <f>48/435*100</f>
        <v>11.03448275862069</v>
      </c>
      <c r="AF58" s="1" t="s">
        <v>269</v>
      </c>
      <c r="AG58" s="1" t="s">
        <v>270</v>
      </c>
      <c r="AH58" s="1" t="s">
        <v>1153</v>
      </c>
      <c r="AI58" s="1" t="s">
        <v>272</v>
      </c>
      <c r="AJ58" s="1" t="s">
        <v>1154</v>
      </c>
      <c r="AK58" s="1" t="s">
        <v>274</v>
      </c>
      <c r="AL58" s="1" t="s">
        <v>490</v>
      </c>
      <c r="AM58" t="s">
        <v>375</v>
      </c>
      <c r="AN58" s="1" t="s">
        <v>1155</v>
      </c>
      <c r="AO58" s="18">
        <v>1</v>
      </c>
      <c r="AP58" s="18">
        <v>1</v>
      </c>
      <c r="AQ58" s="18">
        <v>3</v>
      </c>
      <c r="AR58" s="18">
        <v>1</v>
      </c>
      <c r="AS58" s="18">
        <v>2</v>
      </c>
      <c r="AT58" s="18">
        <v>312</v>
      </c>
      <c r="AU58" s="18">
        <v>312</v>
      </c>
      <c r="AV58" s="18" t="s">
        <v>1156</v>
      </c>
      <c r="AW58" t="s">
        <v>1157</v>
      </c>
      <c r="AX58" t="s">
        <v>1157</v>
      </c>
      <c r="AY58" s="1" t="s">
        <v>284</v>
      </c>
      <c r="AZ58" s="1" t="s">
        <v>277</v>
      </c>
      <c r="BA58" t="s">
        <v>284</v>
      </c>
      <c r="BB58" s="2" t="s">
        <v>277</v>
      </c>
      <c r="BC58" s="2" t="s">
        <v>289</v>
      </c>
      <c r="BD58" s="1" t="s">
        <v>1158</v>
      </c>
      <c r="BE58" s="3" t="s">
        <v>284</v>
      </c>
      <c r="BF58" s="2" t="s">
        <v>277</v>
      </c>
      <c r="BG58" s="3" t="s">
        <v>284</v>
      </c>
      <c r="BH58" s="2" t="s">
        <v>277</v>
      </c>
      <c r="BI58" s="2" t="s">
        <v>284</v>
      </c>
      <c r="BJ58" s="2" t="s">
        <v>277</v>
      </c>
      <c r="BK58" s="2" t="s">
        <v>284</v>
      </c>
      <c r="BL58" s="2" t="s">
        <v>277</v>
      </c>
      <c r="BM58" t="s">
        <v>284</v>
      </c>
      <c r="BN58" s="2" t="s">
        <v>277</v>
      </c>
      <c r="BO58" s="2" t="s">
        <v>289</v>
      </c>
      <c r="BP58" s="1" t="s">
        <v>1159</v>
      </c>
      <c r="BQ58" s="2" t="s">
        <v>318</v>
      </c>
      <c r="BR58" s="1" t="s">
        <v>1160</v>
      </c>
      <c r="BS58" s="2" t="s">
        <v>362</v>
      </c>
      <c r="BT58" s="2" t="s">
        <v>277</v>
      </c>
      <c r="BU58" s="2" t="s">
        <v>284</v>
      </c>
      <c r="BV58" s="2" t="s">
        <v>277</v>
      </c>
      <c r="BW58" s="1" t="s">
        <v>284</v>
      </c>
      <c r="BX58" s="1" t="s">
        <v>277</v>
      </c>
      <c r="BY58" s="2" t="s">
        <v>284</v>
      </c>
      <c r="BZ58" s="2" t="s">
        <v>277</v>
      </c>
      <c r="CA58" s="2" t="s">
        <v>277</v>
      </c>
      <c r="CB58" s="1" t="s">
        <v>277</v>
      </c>
      <c r="CC58" s="1" t="s">
        <v>277</v>
      </c>
      <c r="CD58" s="1" t="s">
        <v>278</v>
      </c>
      <c r="CE58" s="1" t="s">
        <v>278</v>
      </c>
      <c r="CF58" s="1" t="s">
        <v>278</v>
      </c>
      <c r="CG58" s="48" t="str">
        <f>IF(Data!$CB58="NA",".",Data!$CF58-(1-Data!$CF58))</f>
        <v>.</v>
      </c>
      <c r="CH58" s="1" t="s">
        <v>277</v>
      </c>
      <c r="CI58" s="17" t="s">
        <v>278</v>
      </c>
      <c r="CJ58" s="17" t="s">
        <v>278</v>
      </c>
      <c r="CK58" s="17" t="s">
        <v>278</v>
      </c>
      <c r="CL58" s="1" t="s">
        <v>277</v>
      </c>
      <c r="CM58" s="1" t="s">
        <v>277</v>
      </c>
      <c r="CN58" s="1" t="s">
        <v>277</v>
      </c>
      <c r="CO58" s="1" t="s">
        <v>277</v>
      </c>
      <c r="CP58" s="1" t="s">
        <v>277</v>
      </c>
      <c r="CQ58" s="1" t="s">
        <v>277</v>
      </c>
      <c r="CR58" s="1" t="s">
        <v>277</v>
      </c>
      <c r="CS58" s="1" t="s">
        <v>277</v>
      </c>
      <c r="CT58" s="1" t="s">
        <v>277</v>
      </c>
      <c r="CU58" s="1" t="s">
        <v>277</v>
      </c>
      <c r="CV58" s="1" t="s">
        <v>277</v>
      </c>
      <c r="CW58" s="1" t="s">
        <v>277</v>
      </c>
      <c r="CX58" s="1" t="s">
        <v>277</v>
      </c>
      <c r="CY58" s="1" t="s">
        <v>277</v>
      </c>
      <c r="CZ58" s="1" t="s">
        <v>277</v>
      </c>
      <c r="DA58" s="1" t="s">
        <v>277</v>
      </c>
      <c r="DB58" s="1" t="s">
        <v>277</v>
      </c>
      <c r="DC58" s="1" t="s">
        <v>277</v>
      </c>
      <c r="DD58" s="1" t="s">
        <v>277</v>
      </c>
      <c r="DE58" s="1" t="s">
        <v>277</v>
      </c>
      <c r="DF58" s="1" t="s">
        <v>277</v>
      </c>
      <c r="DG58" s="1" t="s">
        <v>277</v>
      </c>
      <c r="DH58" s="1" t="s">
        <v>277</v>
      </c>
      <c r="DI58" s="1" t="s">
        <v>277</v>
      </c>
      <c r="DJ58" s="1" t="s">
        <v>277</v>
      </c>
      <c r="DK58" s="1" t="s">
        <v>277</v>
      </c>
      <c r="DN58" s="1" t="s">
        <v>278</v>
      </c>
      <c r="DO58" s="48" t="str">
        <f>IF(Data!$CB58="NA",".",Data!$DN58-(1-Data!$DN58))</f>
        <v>.</v>
      </c>
      <c r="DP58" s="1" t="s">
        <v>277</v>
      </c>
      <c r="DQ58" s="17" t="s">
        <v>278</v>
      </c>
      <c r="DR58" s="17" t="s">
        <v>278</v>
      </c>
      <c r="DS58" s="17" t="s">
        <v>278</v>
      </c>
      <c r="DT58" s="1" t="s">
        <v>277</v>
      </c>
      <c r="DU58" s="1" t="s">
        <v>277</v>
      </c>
      <c r="DV58" s="1" t="s">
        <v>277</v>
      </c>
      <c r="DW58" s="1" t="s">
        <v>277</v>
      </c>
      <c r="DX58" s="1" t="s">
        <v>277</v>
      </c>
      <c r="DY58" s="1" t="s">
        <v>277</v>
      </c>
      <c r="DZ58" s="1" t="s">
        <v>277</v>
      </c>
      <c r="EA58" s="1" t="s">
        <v>277</v>
      </c>
      <c r="EB58" s="1" t="s">
        <v>277</v>
      </c>
      <c r="EC58" s="1" t="s">
        <v>277</v>
      </c>
      <c r="ED58" s="1" t="s">
        <v>277</v>
      </c>
      <c r="EE58" s="1" t="s">
        <v>277</v>
      </c>
      <c r="EF58" s="1" t="s">
        <v>277</v>
      </c>
      <c r="EG58" s="1" t="s">
        <v>277</v>
      </c>
      <c r="EH58" s="1" t="s">
        <v>277</v>
      </c>
      <c r="EI58" s="1" t="s">
        <v>277</v>
      </c>
      <c r="EJ58" s="1" t="s">
        <v>277</v>
      </c>
      <c r="EK58" s="1" t="s">
        <v>277</v>
      </c>
      <c r="EL58" s="1" t="s">
        <v>277</v>
      </c>
      <c r="EM58" s="1" t="s">
        <v>277</v>
      </c>
      <c r="EN58" s="1" t="s">
        <v>277</v>
      </c>
      <c r="EO58" s="1" t="s">
        <v>277</v>
      </c>
      <c r="EP58" s="1" t="s">
        <v>277</v>
      </c>
      <c r="EQ58" s="1" t="s">
        <v>277</v>
      </c>
    </row>
    <row r="59" spans="1:147" s="1" customFormat="1" ht="15" customHeight="1">
      <c r="A59" s="30" t="s">
        <v>1130</v>
      </c>
      <c r="B59" s="1">
        <v>56</v>
      </c>
      <c r="C59" s="1">
        <v>45</v>
      </c>
      <c r="D59" s="1">
        <v>2017</v>
      </c>
      <c r="E59" s="1" t="s">
        <v>1161</v>
      </c>
      <c r="F59" s="1" t="s">
        <v>1162</v>
      </c>
      <c r="G59" s="15">
        <v>4</v>
      </c>
      <c r="H59" s="15">
        <v>4</v>
      </c>
      <c r="I59" s="15">
        <v>1</v>
      </c>
      <c r="J59" t="s">
        <v>1163</v>
      </c>
      <c r="K59" t="s">
        <v>1164</v>
      </c>
      <c r="L59" s="1" t="s">
        <v>258</v>
      </c>
      <c r="M59" s="1" t="s">
        <v>1165</v>
      </c>
      <c r="N59" s="1">
        <v>0</v>
      </c>
      <c r="O59" s="1" t="s">
        <v>501</v>
      </c>
      <c r="P59" s="1" t="s">
        <v>502</v>
      </c>
      <c r="Q59" s="1" t="s">
        <v>1166</v>
      </c>
      <c r="R59" s="30" t="s">
        <v>1737</v>
      </c>
      <c r="S59" s="1" t="s">
        <v>646</v>
      </c>
      <c r="T59" s="1" t="s">
        <v>264</v>
      </c>
      <c r="U59" s="1" t="s">
        <v>346</v>
      </c>
      <c r="V59" s="1" t="s">
        <v>503</v>
      </c>
      <c r="W59" t="s">
        <v>267</v>
      </c>
      <c r="X59" s="10">
        <v>9.86</v>
      </c>
      <c r="Y59" s="10">
        <v>2.96</v>
      </c>
      <c r="Z59" s="10">
        <v>2.38</v>
      </c>
      <c r="AA59" s="10">
        <v>264</v>
      </c>
      <c r="AB59" s="1" t="s">
        <v>1167</v>
      </c>
      <c r="AC59" s="1">
        <v>1975</v>
      </c>
      <c r="AD59" s="1">
        <v>2012</v>
      </c>
      <c r="AE59" s="1" t="s">
        <v>278</v>
      </c>
      <c r="AF59" s="1" t="s">
        <v>269</v>
      </c>
      <c r="AG59" s="1" t="s">
        <v>270</v>
      </c>
      <c r="AH59" s="1" t="s">
        <v>271</v>
      </c>
      <c r="AI59" s="1" t="s">
        <v>272</v>
      </c>
      <c r="AJ59" s="1" t="s">
        <v>1168</v>
      </c>
      <c r="AK59" s="1" t="s">
        <v>274</v>
      </c>
      <c r="AL59" s="1" t="s">
        <v>1169</v>
      </c>
      <c r="AM59" s="1" t="s">
        <v>276</v>
      </c>
      <c r="AN59" s="1" t="s">
        <v>277</v>
      </c>
      <c r="AO59" s="18">
        <v>1</v>
      </c>
      <c r="AP59" s="18">
        <v>11</v>
      </c>
      <c r="AQ59" s="18">
        <v>21</v>
      </c>
      <c r="AR59" s="18">
        <v>10</v>
      </c>
      <c r="AS59" s="18">
        <v>1</v>
      </c>
      <c r="AT59" s="18">
        <v>1714</v>
      </c>
      <c r="AU59" s="18">
        <v>1714</v>
      </c>
      <c r="AV59" s="18">
        <v>3248</v>
      </c>
      <c r="AW59" s="1" t="s">
        <v>1170</v>
      </c>
      <c r="AX59" s="1" t="s">
        <v>1170</v>
      </c>
      <c r="AY59" s="1" t="s">
        <v>330</v>
      </c>
      <c r="AZ59" t="s">
        <v>1171</v>
      </c>
      <c r="BA59" t="s">
        <v>284</v>
      </c>
      <c r="BB59" s="2" t="s">
        <v>277</v>
      </c>
      <c r="BC59" s="2" t="s">
        <v>284</v>
      </c>
      <c r="BD59" s="2" t="s">
        <v>277</v>
      </c>
      <c r="BE59" s="3" t="s">
        <v>284</v>
      </c>
      <c r="BF59" s="2" t="s">
        <v>277</v>
      </c>
      <c r="BG59" t="s">
        <v>284</v>
      </c>
      <c r="BH59" s="2" t="s">
        <v>277</v>
      </c>
      <c r="BI59" s="2" t="s">
        <v>284</v>
      </c>
      <c r="BJ59" s="2" t="s">
        <v>277</v>
      </c>
      <c r="BK59" t="s">
        <v>284</v>
      </c>
      <c r="BL59" s="2" t="s">
        <v>277</v>
      </c>
      <c r="BM59" t="s">
        <v>284</v>
      </c>
      <c r="BN59" s="2" t="s">
        <v>277</v>
      </c>
      <c r="BO59" s="2" t="s">
        <v>284</v>
      </c>
      <c r="BP59" s="2" t="s">
        <v>277</v>
      </c>
      <c r="BQ59" s="2" t="s">
        <v>362</v>
      </c>
      <c r="BR59" s="2" t="s">
        <v>277</v>
      </c>
      <c r="BS59" s="2" t="s">
        <v>362</v>
      </c>
      <c r="BT59" s="2" t="s">
        <v>277</v>
      </c>
      <c r="BU59" s="2" t="s">
        <v>284</v>
      </c>
      <c r="BV59" s="2" t="s">
        <v>277</v>
      </c>
      <c r="BW59" s="1" t="s">
        <v>284</v>
      </c>
      <c r="BX59" s="1" t="s">
        <v>277</v>
      </c>
      <c r="BY59" s="2" t="s">
        <v>289</v>
      </c>
      <c r="BZ59" t="s">
        <v>1171</v>
      </c>
      <c r="CA59" s="2" t="s">
        <v>277</v>
      </c>
      <c r="CB59" s="1" t="s">
        <v>1172</v>
      </c>
      <c r="CC59" s="1" t="s">
        <v>1173</v>
      </c>
      <c r="CD59" s="48">
        <v>-60.615</v>
      </c>
      <c r="CE59" s="48">
        <v>-60.448</v>
      </c>
      <c r="CF59" s="48">
        <f>(-60.448)/(-60.615+-60.448)</f>
        <v>0.49931027646762427</v>
      </c>
      <c r="CG59" s="48">
        <f>IF(Data!$CB59="NA",".",Data!$CF59-(1-Data!$CF59))</f>
        <v>-0.00137944706475146</v>
      </c>
      <c r="CH59" s="1" t="s">
        <v>1066</v>
      </c>
      <c r="CI59" s="17">
        <v>1</v>
      </c>
      <c r="CJ59" s="17">
        <v>0</v>
      </c>
      <c r="CK59" s="17">
        <v>0</v>
      </c>
      <c r="CL59" s="10" t="s">
        <v>303</v>
      </c>
      <c r="CM59" s="10" t="s">
        <v>450</v>
      </c>
      <c r="CN59" s="10" t="s">
        <v>299</v>
      </c>
      <c r="CO59" s="10" t="s">
        <v>299</v>
      </c>
      <c r="CP59" s="10" t="s">
        <v>299</v>
      </c>
      <c r="CQ59" s="10" t="s">
        <v>299</v>
      </c>
      <c r="CR59" s="10" t="s">
        <v>298</v>
      </c>
      <c r="CS59" s="10" t="s">
        <v>298</v>
      </c>
      <c r="CT59" s="10" t="s">
        <v>538</v>
      </c>
      <c r="CU59" s="10" t="s">
        <v>298</v>
      </c>
      <c r="CV59" s="10" t="s">
        <v>450</v>
      </c>
      <c r="CW59" s="10" t="s">
        <v>299</v>
      </c>
      <c r="CX59" s="10" t="s">
        <v>299</v>
      </c>
      <c r="CY59" s="10" t="s">
        <v>298</v>
      </c>
      <c r="CZ59" s="10" t="s">
        <v>300</v>
      </c>
      <c r="DA59" s="10" t="s">
        <v>450</v>
      </c>
      <c r="DB59" s="10" t="s">
        <v>298</v>
      </c>
      <c r="DC59" s="10" t="s">
        <v>298</v>
      </c>
      <c r="DD59" s="10" t="s">
        <v>450</v>
      </c>
      <c r="DE59" s="10" t="s">
        <v>299</v>
      </c>
      <c r="DF59" s="10" t="s">
        <v>299</v>
      </c>
      <c r="DG59" s="10" t="s">
        <v>299</v>
      </c>
      <c r="DH59" s="10" t="s">
        <v>298</v>
      </c>
      <c r="DI59" s="10" t="s">
        <v>298</v>
      </c>
      <c r="DJ59" s="1" t="s">
        <v>277</v>
      </c>
      <c r="DK59" s="1" t="s">
        <v>277</v>
      </c>
      <c r="DL59" s="1" t="s">
        <v>278</v>
      </c>
      <c r="DM59" s="1" t="s">
        <v>278</v>
      </c>
      <c r="DN59" s="48" t="s">
        <v>278</v>
      </c>
      <c r="DO59" s="48" t="s">
        <v>278</v>
      </c>
      <c r="DP59" s="1" t="s">
        <v>277</v>
      </c>
      <c r="DQ59" s="17" t="s">
        <v>278</v>
      </c>
      <c r="DR59" s="17" t="s">
        <v>278</v>
      </c>
      <c r="DS59" s="17" t="s">
        <v>278</v>
      </c>
      <c r="DT59" s="1" t="s">
        <v>277</v>
      </c>
      <c r="DU59" s="1" t="s">
        <v>277</v>
      </c>
      <c r="DV59" s="1" t="s">
        <v>277</v>
      </c>
      <c r="DW59" s="1" t="s">
        <v>277</v>
      </c>
      <c r="DX59" s="1" t="s">
        <v>277</v>
      </c>
      <c r="DY59" s="1" t="s">
        <v>277</v>
      </c>
      <c r="DZ59" s="1" t="s">
        <v>277</v>
      </c>
      <c r="EA59" s="1" t="s">
        <v>277</v>
      </c>
      <c r="EB59" s="1" t="s">
        <v>277</v>
      </c>
      <c r="EC59" s="1" t="s">
        <v>277</v>
      </c>
      <c r="ED59" s="1" t="s">
        <v>277</v>
      </c>
      <c r="EE59" s="1" t="s">
        <v>277</v>
      </c>
      <c r="EF59" s="1" t="s">
        <v>277</v>
      </c>
      <c r="EG59" s="1" t="s">
        <v>277</v>
      </c>
      <c r="EH59" s="1" t="s">
        <v>277</v>
      </c>
      <c r="EI59" s="1" t="s">
        <v>277</v>
      </c>
      <c r="EJ59" s="1" t="s">
        <v>277</v>
      </c>
      <c r="EK59" s="1" t="s">
        <v>277</v>
      </c>
      <c r="EL59" s="1" t="s">
        <v>277</v>
      </c>
      <c r="EM59" s="1" t="s">
        <v>277</v>
      </c>
      <c r="EN59" s="1" t="s">
        <v>277</v>
      </c>
      <c r="EO59" s="1" t="s">
        <v>277</v>
      </c>
      <c r="EP59" s="1" t="s">
        <v>277</v>
      </c>
      <c r="EQ59" s="1" t="s">
        <v>277</v>
      </c>
    </row>
    <row r="60" spans="1:147" ht="15" customHeight="1">
      <c r="A60" s="30" t="s">
        <v>1130</v>
      </c>
      <c r="B60" s="1">
        <v>57</v>
      </c>
      <c r="C60" s="1">
        <v>46</v>
      </c>
      <c r="D60" s="10">
        <v>2005</v>
      </c>
      <c r="E60" t="s">
        <v>1174</v>
      </c>
      <c r="F60" t="s">
        <v>1174</v>
      </c>
      <c r="G60" s="16">
        <v>0</v>
      </c>
      <c r="H60" s="15">
        <v>1</v>
      </c>
      <c r="I60" s="16">
        <v>0</v>
      </c>
      <c r="J60" t="s">
        <v>1175</v>
      </c>
      <c r="K60" t="s">
        <v>1176</v>
      </c>
      <c r="L60" s="1" t="s">
        <v>639</v>
      </c>
      <c r="M60" t="s">
        <v>1177</v>
      </c>
      <c r="N60" s="10">
        <v>13</v>
      </c>
      <c r="O60" t="s">
        <v>260</v>
      </c>
      <c r="P60" s="1" t="s">
        <v>261</v>
      </c>
      <c r="Q60" t="s">
        <v>1178</v>
      </c>
      <c r="S60" s="1" t="s">
        <v>263</v>
      </c>
      <c r="T60" s="1" t="s">
        <v>264</v>
      </c>
      <c r="U60" s="1" t="s">
        <v>790</v>
      </c>
      <c r="V60" s="1" t="s">
        <v>266</v>
      </c>
      <c r="W60" t="s">
        <v>267</v>
      </c>
      <c r="X60" s="10">
        <v>3.15</v>
      </c>
      <c r="Y60" s="10">
        <v>2.25</v>
      </c>
      <c r="Z60" s="10">
        <v>2.02</v>
      </c>
      <c r="AA60" s="10">
        <v>435</v>
      </c>
      <c r="AB60" s="10" t="s">
        <v>1179</v>
      </c>
      <c r="AC60" s="10">
        <v>2001</v>
      </c>
      <c r="AD60" s="10">
        <v>2003</v>
      </c>
      <c r="AE60" s="10">
        <v>14</v>
      </c>
      <c r="AF60" s="1" t="s">
        <v>664</v>
      </c>
      <c r="AG60" s="1" t="s">
        <v>270</v>
      </c>
      <c r="AH60" t="s">
        <v>271</v>
      </c>
      <c r="AI60" s="1" t="s">
        <v>272</v>
      </c>
      <c r="AJ60" s="1" t="s">
        <v>1180</v>
      </c>
      <c r="AK60" s="1" t="s">
        <v>274</v>
      </c>
      <c r="AL60" s="1" t="s">
        <v>1181</v>
      </c>
      <c r="AM60" t="s">
        <v>375</v>
      </c>
      <c r="AN60" s="10" t="s">
        <v>277</v>
      </c>
      <c r="AO60" s="17">
        <v>1</v>
      </c>
      <c r="AP60" s="17">
        <v>0</v>
      </c>
      <c r="AQ60" s="17">
        <v>146</v>
      </c>
      <c r="AR60" s="17">
        <v>73</v>
      </c>
      <c r="AS60" s="17" t="s">
        <v>278</v>
      </c>
      <c r="AT60" s="17">
        <v>1460</v>
      </c>
      <c r="AU60" s="17">
        <v>1460</v>
      </c>
      <c r="AV60" s="17">
        <v>1460</v>
      </c>
      <c r="AW60" t="s">
        <v>1182</v>
      </c>
      <c r="AX60" t="s">
        <v>1183</v>
      </c>
      <c r="AY60" s="1" t="s">
        <v>282</v>
      </c>
      <c r="AZ60" s="1" t="s">
        <v>1184</v>
      </c>
      <c r="BA60" t="s">
        <v>703</v>
      </c>
      <c r="BB60" t="s">
        <v>1185</v>
      </c>
      <c r="BC60" s="2" t="s">
        <v>1186</v>
      </c>
      <c r="BD60" t="s">
        <v>1187</v>
      </c>
      <c r="BE60" s="3" t="s">
        <v>284</v>
      </c>
      <c r="BF60" t="s">
        <v>277</v>
      </c>
      <c r="BG60" s="3" t="s">
        <v>919</v>
      </c>
      <c r="BH60" t="s">
        <v>1188</v>
      </c>
      <c r="BI60" s="2" t="s">
        <v>380</v>
      </c>
      <c r="BJ60" t="s">
        <v>1189</v>
      </c>
      <c r="BK60" s="2" t="s">
        <v>284</v>
      </c>
      <c r="BL60" s="2" t="s">
        <v>277</v>
      </c>
      <c r="BM60" t="s">
        <v>384</v>
      </c>
      <c r="BN60" t="s">
        <v>1190</v>
      </c>
      <c r="BO60" s="2" t="s">
        <v>572</v>
      </c>
      <c r="BP60" t="s">
        <v>1191</v>
      </c>
      <c r="BQ60" s="2" t="s">
        <v>336</v>
      </c>
      <c r="BR60" t="s">
        <v>1192</v>
      </c>
      <c r="BS60" s="2" t="s">
        <v>362</v>
      </c>
      <c r="BT60" s="2" t="s">
        <v>277</v>
      </c>
      <c r="BU60" s="2" t="s">
        <v>284</v>
      </c>
      <c r="BV60" s="2" t="s">
        <v>277</v>
      </c>
      <c r="BW60" s="1" t="s">
        <v>709</v>
      </c>
      <c r="BX60" s="3" t="s">
        <v>1193</v>
      </c>
      <c r="BY60" s="2" t="s">
        <v>284</v>
      </c>
      <c r="BZ60" s="2" t="s">
        <v>277</v>
      </c>
      <c r="CA60" s="2" t="s">
        <v>1194</v>
      </c>
      <c r="CB60" t="s">
        <v>1195</v>
      </c>
      <c r="CC60" s="2" t="s">
        <v>1196</v>
      </c>
      <c r="CD60" s="49">
        <v>0.55</v>
      </c>
      <c r="CE60" s="49">
        <v>0.5</v>
      </c>
      <c r="CF60" s="49">
        <v>0.48</v>
      </c>
      <c r="CG60" s="48">
        <f>IF(Data!$CB60="NA",".",Data!$CF60-(1-Data!$CF60))</f>
        <v>-0.040000000000000036</v>
      </c>
      <c r="CH60" s="1" t="s">
        <v>277</v>
      </c>
      <c r="CI60" s="17">
        <v>0</v>
      </c>
      <c r="CJ60" s="17">
        <v>1</v>
      </c>
      <c r="CK60" s="17">
        <v>0</v>
      </c>
      <c r="CL60" s="10" t="s">
        <v>303</v>
      </c>
      <c r="CM60" s="10" t="s">
        <v>298</v>
      </c>
      <c r="CN60" s="10" t="s">
        <v>299</v>
      </c>
      <c r="CO60" s="10" t="s">
        <v>298</v>
      </c>
      <c r="CP60" s="10" t="s">
        <v>299</v>
      </c>
      <c r="CQ60" s="10" t="s">
        <v>299</v>
      </c>
      <c r="CR60" s="10" t="s">
        <v>298</v>
      </c>
      <c r="CS60" s="10" t="s">
        <v>298</v>
      </c>
      <c r="CT60" s="10" t="s">
        <v>298</v>
      </c>
      <c r="CU60" s="10" t="s">
        <v>298</v>
      </c>
      <c r="CV60" s="10" t="s">
        <v>299</v>
      </c>
      <c r="CW60" s="10" t="s">
        <v>299</v>
      </c>
      <c r="CX60" s="10" t="s">
        <v>299</v>
      </c>
      <c r="CY60" s="10" t="s">
        <v>298</v>
      </c>
      <c r="CZ60" s="10" t="s">
        <v>300</v>
      </c>
      <c r="DA60" s="10" t="s">
        <v>298</v>
      </c>
      <c r="DB60" s="10" t="s">
        <v>298</v>
      </c>
      <c r="DC60" s="10" t="s">
        <v>298</v>
      </c>
      <c r="DD60" s="10" t="s">
        <v>298</v>
      </c>
      <c r="DE60" s="10" t="s">
        <v>299</v>
      </c>
      <c r="DF60" s="10" t="s">
        <v>298</v>
      </c>
      <c r="DG60" s="10" t="s">
        <v>298</v>
      </c>
      <c r="DH60" s="10" t="s">
        <v>298</v>
      </c>
      <c r="DI60" s="10" t="s">
        <v>298</v>
      </c>
      <c r="DJ60" s="1" t="s">
        <v>277</v>
      </c>
      <c r="DK60" s="1" t="s">
        <v>277</v>
      </c>
      <c r="DL60" s="1" t="s">
        <v>278</v>
      </c>
      <c r="DM60" s="1" t="s">
        <v>278</v>
      </c>
      <c r="DN60" s="48" t="s">
        <v>278</v>
      </c>
      <c r="DO60" s="48" t="s">
        <v>278</v>
      </c>
      <c r="DP60" s="1" t="s">
        <v>277</v>
      </c>
      <c r="DQ60" s="17" t="s">
        <v>278</v>
      </c>
      <c r="DR60" s="17" t="s">
        <v>278</v>
      </c>
      <c r="DS60" s="17" t="s">
        <v>278</v>
      </c>
      <c r="DT60" s="1" t="s">
        <v>277</v>
      </c>
      <c r="DU60" s="1" t="s">
        <v>277</v>
      </c>
      <c r="DV60" s="1" t="s">
        <v>277</v>
      </c>
      <c r="DW60" s="1" t="s">
        <v>277</v>
      </c>
      <c r="DX60" s="1" t="s">
        <v>277</v>
      </c>
      <c r="DY60" s="1" t="s">
        <v>277</v>
      </c>
      <c r="DZ60" s="1" t="s">
        <v>277</v>
      </c>
      <c r="EA60" s="1" t="s">
        <v>277</v>
      </c>
      <c r="EB60" s="1" t="s">
        <v>277</v>
      </c>
      <c r="EC60" s="1" t="s">
        <v>277</v>
      </c>
      <c r="ED60" s="1" t="s">
        <v>277</v>
      </c>
      <c r="EE60" s="1" t="s">
        <v>277</v>
      </c>
      <c r="EF60" s="1" t="s">
        <v>277</v>
      </c>
      <c r="EG60" s="1" t="s">
        <v>277</v>
      </c>
      <c r="EH60" s="1" t="s">
        <v>277</v>
      </c>
      <c r="EI60" s="1" t="s">
        <v>277</v>
      </c>
      <c r="EJ60" s="1" t="s">
        <v>277</v>
      </c>
      <c r="EK60" s="1" t="s">
        <v>277</v>
      </c>
      <c r="EL60" s="1" t="s">
        <v>277</v>
      </c>
      <c r="EM60" s="1" t="s">
        <v>277</v>
      </c>
      <c r="EN60" s="1" t="s">
        <v>277</v>
      </c>
      <c r="EO60" s="1" t="s">
        <v>277</v>
      </c>
      <c r="EP60" s="1" t="s">
        <v>277</v>
      </c>
      <c r="EQ60" s="1" t="s">
        <v>277</v>
      </c>
    </row>
    <row r="61" spans="1:147" ht="15" customHeight="1">
      <c r="A61" s="30" t="s">
        <v>1130</v>
      </c>
      <c r="B61" s="1">
        <v>58</v>
      </c>
      <c r="C61" s="1">
        <v>47</v>
      </c>
      <c r="D61" s="10">
        <v>2016</v>
      </c>
      <c r="E61" t="s">
        <v>1197</v>
      </c>
      <c r="F61" t="s">
        <v>1198</v>
      </c>
      <c r="G61" s="16">
        <v>3</v>
      </c>
      <c r="H61" s="16">
        <v>3</v>
      </c>
      <c r="I61" s="16">
        <v>1</v>
      </c>
      <c r="J61" t="s">
        <v>1199</v>
      </c>
      <c r="K61" t="s">
        <v>1200</v>
      </c>
      <c r="L61" s="1" t="s">
        <v>258</v>
      </c>
      <c r="M61" t="s">
        <v>1201</v>
      </c>
      <c r="N61" s="10">
        <v>11</v>
      </c>
      <c r="O61" s="1" t="s">
        <v>808</v>
      </c>
      <c r="P61" s="1" t="s">
        <v>431</v>
      </c>
      <c r="Q61" s="1" t="s">
        <v>724</v>
      </c>
      <c r="R61" s="1" t="s">
        <v>1738</v>
      </c>
      <c r="S61" s="1" t="s">
        <v>263</v>
      </c>
      <c r="T61" s="1" t="s">
        <v>264</v>
      </c>
      <c r="U61" s="1" t="s">
        <v>790</v>
      </c>
      <c r="V61" t="s">
        <v>1202</v>
      </c>
      <c r="W61" t="s">
        <v>267</v>
      </c>
      <c r="X61" s="10">
        <v>13.55</v>
      </c>
      <c r="Y61" s="10">
        <v>3.06</v>
      </c>
      <c r="Z61" s="10">
        <v>2.27</v>
      </c>
      <c r="AA61" s="10">
        <v>651</v>
      </c>
      <c r="AB61" s="1" t="s">
        <v>1203</v>
      </c>
      <c r="AC61" s="10">
        <v>1992</v>
      </c>
      <c r="AD61" s="10">
        <v>2012</v>
      </c>
      <c r="AE61" s="6">
        <f>(9+18+22)/3</f>
        <v>16.333333333333332</v>
      </c>
      <c r="AF61" s="1" t="s">
        <v>664</v>
      </c>
      <c r="AG61" s="1" t="s">
        <v>270</v>
      </c>
      <c r="AH61" t="s">
        <v>1204</v>
      </c>
      <c r="AI61" s="1" t="s">
        <v>272</v>
      </c>
      <c r="AJ61" s="1" t="s">
        <v>1205</v>
      </c>
      <c r="AK61" s="1" t="s">
        <v>439</v>
      </c>
      <c r="AL61" s="1" t="s">
        <v>1206</v>
      </c>
      <c r="AM61" s="1" t="s">
        <v>375</v>
      </c>
      <c r="AN61" s="10" t="s">
        <v>277</v>
      </c>
      <c r="AO61" s="17">
        <v>1</v>
      </c>
      <c r="AP61" s="17">
        <v>0</v>
      </c>
      <c r="AQ61" s="18">
        <v>1960</v>
      </c>
      <c r="AR61" s="18">
        <v>321</v>
      </c>
      <c r="AS61" s="17">
        <v>7</v>
      </c>
      <c r="AT61" s="17">
        <v>542</v>
      </c>
      <c r="AU61" s="17">
        <v>542</v>
      </c>
      <c r="AV61" s="17">
        <v>542</v>
      </c>
      <c r="AW61" t="s">
        <v>1207</v>
      </c>
      <c r="AX61" t="s">
        <v>1208</v>
      </c>
      <c r="AY61" s="1" t="s">
        <v>282</v>
      </c>
      <c r="AZ61" t="s">
        <v>1209</v>
      </c>
      <c r="BA61" t="s">
        <v>284</v>
      </c>
      <c r="BB61" s="2" t="s">
        <v>277</v>
      </c>
      <c r="BC61" s="2" t="s">
        <v>284</v>
      </c>
      <c r="BD61" t="s">
        <v>277</v>
      </c>
      <c r="BE61" s="3" t="s">
        <v>284</v>
      </c>
      <c r="BF61" s="2" t="s">
        <v>277</v>
      </c>
      <c r="BG61" t="s">
        <v>284</v>
      </c>
      <c r="BH61" s="2" t="s">
        <v>277</v>
      </c>
      <c r="BI61" s="2" t="s">
        <v>380</v>
      </c>
      <c r="BJ61" s="2" t="s">
        <v>1210</v>
      </c>
      <c r="BK61" s="2" t="s">
        <v>816</v>
      </c>
      <c r="BL61" s="2" t="s">
        <v>1210</v>
      </c>
      <c r="BM61" t="s">
        <v>284</v>
      </c>
      <c r="BN61" s="2" t="s">
        <v>277</v>
      </c>
      <c r="BO61" s="2" t="s">
        <v>284</v>
      </c>
      <c r="BP61" s="2" t="s">
        <v>277</v>
      </c>
      <c r="BQ61" s="2" t="s">
        <v>362</v>
      </c>
      <c r="BR61" s="2" t="s">
        <v>277</v>
      </c>
      <c r="BS61" s="2" t="s">
        <v>362</v>
      </c>
      <c r="BT61" s="2" t="s">
        <v>277</v>
      </c>
      <c r="BU61" s="2" t="s">
        <v>284</v>
      </c>
      <c r="BV61" s="2" t="s">
        <v>277</v>
      </c>
      <c r="BW61" s="1" t="s">
        <v>284</v>
      </c>
      <c r="BX61" s="1" t="s">
        <v>277</v>
      </c>
      <c r="BY61" s="2" t="s">
        <v>783</v>
      </c>
      <c r="BZ61" s="1" t="s">
        <v>1211</v>
      </c>
      <c r="CA61" s="2" t="s">
        <v>277</v>
      </c>
      <c r="CB61" s="2" t="s">
        <v>1212</v>
      </c>
      <c r="CC61" s="2" t="s">
        <v>1213</v>
      </c>
      <c r="CD61" s="49">
        <v>0.29</v>
      </c>
      <c r="CE61" s="49">
        <v>0.24</v>
      </c>
      <c r="CF61" s="49">
        <f>0.24/(0.24+0.29)</f>
        <v>0.45283018867924524</v>
      </c>
      <c r="CG61" s="48">
        <f>IF(Data!$CB61="NA",".",Data!$CF61-(1-Data!$CF61))</f>
        <v>-0.09433962264150958</v>
      </c>
      <c r="CH61" s="1" t="s">
        <v>277</v>
      </c>
      <c r="CI61" s="17">
        <v>0</v>
      </c>
      <c r="CJ61" s="17">
        <v>1</v>
      </c>
      <c r="CK61" s="17">
        <v>0</v>
      </c>
      <c r="CL61" s="10" t="s">
        <v>303</v>
      </c>
      <c r="CM61" s="10" t="s">
        <v>298</v>
      </c>
      <c r="CN61" s="10" t="s">
        <v>299</v>
      </c>
      <c r="CO61" s="10" t="s">
        <v>299</v>
      </c>
      <c r="CP61" s="10" t="s">
        <v>298</v>
      </c>
      <c r="CQ61" s="10" t="s">
        <v>299</v>
      </c>
      <c r="CR61" s="10" t="s">
        <v>299</v>
      </c>
      <c r="CS61" s="10" t="s">
        <v>298</v>
      </c>
      <c r="CT61" s="10" t="s">
        <v>298</v>
      </c>
      <c r="CU61" s="10" t="s">
        <v>298</v>
      </c>
      <c r="CV61" s="10" t="s">
        <v>299</v>
      </c>
      <c r="CW61" s="10" t="s">
        <v>298</v>
      </c>
      <c r="CX61" s="10" t="s">
        <v>298</v>
      </c>
      <c r="CY61" s="10" t="s">
        <v>298</v>
      </c>
      <c r="CZ61" s="10" t="s">
        <v>300</v>
      </c>
      <c r="DA61" s="10" t="s">
        <v>298</v>
      </c>
      <c r="DB61" s="10" t="s">
        <v>298</v>
      </c>
      <c r="DC61" s="10" t="s">
        <v>298</v>
      </c>
      <c r="DD61" s="10" t="s">
        <v>298</v>
      </c>
      <c r="DE61" s="10" t="s">
        <v>299</v>
      </c>
      <c r="DF61" s="10" t="s">
        <v>298</v>
      </c>
      <c r="DG61" s="10" t="s">
        <v>299</v>
      </c>
      <c r="DH61" s="10" t="s">
        <v>298</v>
      </c>
      <c r="DI61" s="10" t="s">
        <v>298</v>
      </c>
      <c r="DJ61" s="1" t="s">
        <v>277</v>
      </c>
      <c r="DK61" s="1" t="s">
        <v>277</v>
      </c>
      <c r="DL61" s="1" t="s">
        <v>278</v>
      </c>
      <c r="DM61" s="1" t="s">
        <v>278</v>
      </c>
      <c r="DN61" s="48" t="s">
        <v>278</v>
      </c>
      <c r="DO61" s="48" t="s">
        <v>278</v>
      </c>
      <c r="DP61" s="1" t="s">
        <v>277</v>
      </c>
      <c r="DQ61" s="17" t="s">
        <v>278</v>
      </c>
      <c r="DR61" s="17" t="s">
        <v>278</v>
      </c>
      <c r="DS61" s="17" t="s">
        <v>278</v>
      </c>
      <c r="DT61" s="1" t="s">
        <v>277</v>
      </c>
      <c r="DU61" s="1" t="s">
        <v>277</v>
      </c>
      <c r="DV61" s="1" t="s">
        <v>277</v>
      </c>
      <c r="DW61" s="1" t="s">
        <v>277</v>
      </c>
      <c r="DX61" s="1" t="s">
        <v>277</v>
      </c>
      <c r="DY61" s="1" t="s">
        <v>277</v>
      </c>
      <c r="DZ61" s="1" t="s">
        <v>277</v>
      </c>
      <c r="EA61" s="1" t="s">
        <v>277</v>
      </c>
      <c r="EB61" s="1" t="s">
        <v>277</v>
      </c>
      <c r="EC61" s="1" t="s">
        <v>277</v>
      </c>
      <c r="ED61" s="1" t="s">
        <v>277</v>
      </c>
      <c r="EE61" s="1" t="s">
        <v>277</v>
      </c>
      <c r="EF61" s="1" t="s">
        <v>277</v>
      </c>
      <c r="EG61" s="1" t="s">
        <v>277</v>
      </c>
      <c r="EH61" s="1" t="s">
        <v>277</v>
      </c>
      <c r="EI61" s="1" t="s">
        <v>277</v>
      </c>
      <c r="EJ61" s="1" t="s">
        <v>277</v>
      </c>
      <c r="EK61" s="1" t="s">
        <v>277</v>
      </c>
      <c r="EL61" s="1" t="s">
        <v>277</v>
      </c>
      <c r="EM61" s="1" t="s">
        <v>277</v>
      </c>
      <c r="EN61" s="1" t="s">
        <v>277</v>
      </c>
      <c r="EO61" s="1" t="s">
        <v>277</v>
      </c>
      <c r="EP61" s="1" t="s">
        <v>277</v>
      </c>
      <c r="EQ61" s="1" t="s">
        <v>277</v>
      </c>
    </row>
    <row r="62" spans="1:147" ht="15" customHeight="1">
      <c r="A62" s="30" t="s">
        <v>1130</v>
      </c>
      <c r="B62" s="1">
        <v>59</v>
      </c>
      <c r="C62" s="1">
        <v>48</v>
      </c>
      <c r="D62" s="10">
        <v>2015</v>
      </c>
      <c r="E62" t="s">
        <v>1214</v>
      </c>
      <c r="F62" t="s">
        <v>1214</v>
      </c>
      <c r="G62" s="16">
        <v>1</v>
      </c>
      <c r="H62" s="15">
        <v>2</v>
      </c>
      <c r="I62" s="16">
        <v>0</v>
      </c>
      <c r="J62" t="s">
        <v>1215</v>
      </c>
      <c r="K62" t="s">
        <v>1216</v>
      </c>
      <c r="L62" s="1" t="s">
        <v>258</v>
      </c>
      <c r="M62" t="s">
        <v>1217</v>
      </c>
      <c r="N62" s="10">
        <v>46</v>
      </c>
      <c r="O62" s="1" t="s">
        <v>260</v>
      </c>
      <c r="P62" s="1" t="s">
        <v>261</v>
      </c>
      <c r="Q62" t="s">
        <v>1051</v>
      </c>
      <c r="R62" t="s">
        <v>1744</v>
      </c>
      <c r="S62" s="1" t="s">
        <v>263</v>
      </c>
      <c r="T62" s="1" t="s">
        <v>264</v>
      </c>
      <c r="U62" s="1" t="s">
        <v>265</v>
      </c>
      <c r="V62" s="1" t="s">
        <v>266</v>
      </c>
      <c r="W62" t="s">
        <v>267</v>
      </c>
      <c r="X62" s="10">
        <v>3.14</v>
      </c>
      <c r="Y62" s="10">
        <v>2.15</v>
      </c>
      <c r="Z62" s="10">
        <v>1.97</v>
      </c>
      <c r="AA62" s="10">
        <v>435</v>
      </c>
      <c r="AB62" s="10">
        <v>2010</v>
      </c>
      <c r="AC62" s="10">
        <v>2010</v>
      </c>
      <c r="AD62" s="10">
        <v>2010</v>
      </c>
      <c r="AE62" s="10">
        <v>16.8</v>
      </c>
      <c r="AF62" s="1" t="s">
        <v>269</v>
      </c>
      <c r="AG62" s="1" t="s">
        <v>270</v>
      </c>
      <c r="AH62" t="s">
        <v>1218</v>
      </c>
      <c r="AI62" s="1" t="s">
        <v>272</v>
      </c>
      <c r="AJ62" s="1" t="s">
        <v>1219</v>
      </c>
      <c r="AK62" s="1" t="s">
        <v>274</v>
      </c>
      <c r="AL62" s="1" t="s">
        <v>1220</v>
      </c>
      <c r="AM62" s="1" t="s">
        <v>276</v>
      </c>
      <c r="AN62" s="10" t="s">
        <v>277</v>
      </c>
      <c r="AO62" s="17">
        <v>1</v>
      </c>
      <c r="AP62" s="17">
        <v>342</v>
      </c>
      <c r="AQ62" s="17">
        <v>663</v>
      </c>
      <c r="AR62" s="17">
        <v>108</v>
      </c>
      <c r="AS62" s="17">
        <v>342</v>
      </c>
      <c r="AT62" s="17">
        <v>4748</v>
      </c>
      <c r="AU62" s="17">
        <v>4748</v>
      </c>
      <c r="AV62" s="17">
        <v>663</v>
      </c>
      <c r="AW62" t="s">
        <v>1221</v>
      </c>
      <c r="AX62" t="s">
        <v>1222</v>
      </c>
      <c r="AY62" s="1" t="s">
        <v>330</v>
      </c>
      <c r="AZ62" s="1" t="s">
        <v>1223</v>
      </c>
      <c r="BA62" t="s">
        <v>284</v>
      </c>
      <c r="BB62" s="2" t="s">
        <v>277</v>
      </c>
      <c r="BC62" s="2" t="s">
        <v>284</v>
      </c>
      <c r="BD62" t="s">
        <v>277</v>
      </c>
      <c r="BE62" s="3" t="s">
        <v>284</v>
      </c>
      <c r="BF62" s="2" t="s">
        <v>277</v>
      </c>
      <c r="BG62" t="s">
        <v>284</v>
      </c>
      <c r="BH62" s="2" t="s">
        <v>277</v>
      </c>
      <c r="BI62" s="2" t="s">
        <v>284</v>
      </c>
      <c r="BJ62" s="2" t="s">
        <v>277</v>
      </c>
      <c r="BK62" t="s">
        <v>284</v>
      </c>
      <c r="BL62" s="2" t="s">
        <v>277</v>
      </c>
      <c r="BM62" t="s">
        <v>289</v>
      </c>
      <c r="BN62" s="2" t="s">
        <v>1224</v>
      </c>
      <c r="BO62" s="2" t="s">
        <v>289</v>
      </c>
      <c r="BP62" s="2" t="s">
        <v>1225</v>
      </c>
      <c r="BQ62" s="2" t="s">
        <v>336</v>
      </c>
      <c r="BR62" s="2" t="s">
        <v>1226</v>
      </c>
      <c r="BS62" s="2" t="s">
        <v>362</v>
      </c>
      <c r="BT62" s="2" t="s">
        <v>277</v>
      </c>
      <c r="BU62" s="2" t="s">
        <v>289</v>
      </c>
      <c r="BV62" s="2" t="s">
        <v>1227</v>
      </c>
      <c r="BW62" s="1" t="s">
        <v>289</v>
      </c>
      <c r="BX62" s="1" t="s">
        <v>1228</v>
      </c>
      <c r="BY62" s="2" t="s">
        <v>284</v>
      </c>
      <c r="BZ62" s="2" t="s">
        <v>277</v>
      </c>
      <c r="CA62" s="2" t="s">
        <v>277</v>
      </c>
      <c r="CB62" t="s">
        <v>1229</v>
      </c>
      <c r="CC62" t="s">
        <v>1230</v>
      </c>
      <c r="CD62" s="49">
        <v>14.42</v>
      </c>
      <c r="CE62" s="49">
        <v>14.28</v>
      </c>
      <c r="CF62" s="48">
        <f>CE62/(CE62+CD62)</f>
        <v>0.4975609756097561</v>
      </c>
      <c r="CG62" s="48">
        <f>IF(Data!$CB62="NA",".",Data!$CF62-(1-Data!$CF62))</f>
        <v>-0.004878048780487809</v>
      </c>
      <c r="CH62" s="1" t="s">
        <v>1231</v>
      </c>
      <c r="CI62" s="17">
        <v>0</v>
      </c>
      <c r="CJ62" s="17">
        <v>0</v>
      </c>
      <c r="CK62" s="17">
        <v>1</v>
      </c>
      <c r="CL62" s="10" t="s">
        <v>297</v>
      </c>
      <c r="CM62" s="10" t="s">
        <v>298</v>
      </c>
      <c r="CN62" s="10" t="s">
        <v>299</v>
      </c>
      <c r="CO62" s="10" t="s">
        <v>299</v>
      </c>
      <c r="CP62" s="10" t="s">
        <v>299</v>
      </c>
      <c r="CQ62" s="10" t="s">
        <v>298</v>
      </c>
      <c r="CR62" s="10" t="s">
        <v>298</v>
      </c>
      <c r="CS62" s="10" t="s">
        <v>298</v>
      </c>
      <c r="CT62" s="10" t="s">
        <v>298</v>
      </c>
      <c r="CU62" s="10" t="s">
        <v>298</v>
      </c>
      <c r="CV62" s="10" t="s">
        <v>298</v>
      </c>
      <c r="CW62" s="10" t="s">
        <v>298</v>
      </c>
      <c r="CX62" s="10" t="s">
        <v>298</v>
      </c>
      <c r="CY62" s="10" t="s">
        <v>298</v>
      </c>
      <c r="CZ62" s="10" t="s">
        <v>300</v>
      </c>
      <c r="DA62" s="10" t="s">
        <v>298</v>
      </c>
      <c r="DB62" s="10" t="s">
        <v>298</v>
      </c>
      <c r="DC62" s="10" t="s">
        <v>298</v>
      </c>
      <c r="DD62" s="10" t="s">
        <v>298</v>
      </c>
      <c r="DE62" s="10" t="s">
        <v>298</v>
      </c>
      <c r="DF62" s="10" t="s">
        <v>298</v>
      </c>
      <c r="DG62" s="10" t="s">
        <v>298</v>
      </c>
      <c r="DH62" s="10" t="s">
        <v>298</v>
      </c>
      <c r="DI62" s="10" t="s">
        <v>298</v>
      </c>
      <c r="DJ62" t="s">
        <v>1232</v>
      </c>
      <c r="DK62" t="s">
        <v>1233</v>
      </c>
      <c r="DL62">
        <v>10.324</v>
      </c>
      <c r="DM62">
        <v>10.02</v>
      </c>
      <c r="DN62" s="48">
        <f>DM62/(DM62+DL62)</f>
        <v>0.4925285096342902</v>
      </c>
      <c r="DO62" s="48">
        <f>DN62-(1-DN62)</f>
        <v>-0.014942980731419642</v>
      </c>
      <c r="DP62" s="1" t="s">
        <v>1066</v>
      </c>
      <c r="DQ62" s="17">
        <v>1</v>
      </c>
      <c r="DR62" s="17">
        <v>0</v>
      </c>
      <c r="DS62" s="17">
        <v>0</v>
      </c>
      <c r="DT62" s="10" t="s">
        <v>297</v>
      </c>
      <c r="DU62" s="10" t="s">
        <v>298</v>
      </c>
      <c r="DV62" s="10" t="s">
        <v>299</v>
      </c>
      <c r="DW62" s="10" t="s">
        <v>299</v>
      </c>
      <c r="DX62" s="10" t="s">
        <v>299</v>
      </c>
      <c r="DY62" s="10" t="s">
        <v>298</v>
      </c>
      <c r="DZ62" s="10" t="s">
        <v>298</v>
      </c>
      <c r="EA62" s="10" t="s">
        <v>298</v>
      </c>
      <c r="EB62" s="10" t="s">
        <v>304</v>
      </c>
      <c r="EC62" s="10" t="s">
        <v>450</v>
      </c>
      <c r="ED62" s="10" t="s">
        <v>298</v>
      </c>
      <c r="EE62" s="10" t="s">
        <v>450</v>
      </c>
      <c r="EF62" s="10" t="s">
        <v>450</v>
      </c>
      <c r="EG62" s="10" t="s">
        <v>298</v>
      </c>
      <c r="EH62" s="10" t="s">
        <v>300</v>
      </c>
      <c r="EI62" s="10" t="s">
        <v>298</v>
      </c>
      <c r="EJ62" s="10" t="s">
        <v>298</v>
      </c>
      <c r="EK62" s="10" t="s">
        <v>298</v>
      </c>
      <c r="EL62" s="10" t="s">
        <v>298</v>
      </c>
      <c r="EM62" s="10" t="s">
        <v>450</v>
      </c>
      <c r="EN62" s="10" t="s">
        <v>298</v>
      </c>
      <c r="EO62" s="10" t="s">
        <v>298</v>
      </c>
      <c r="EP62" s="10" t="s">
        <v>298</v>
      </c>
      <c r="EQ62" s="10" t="s">
        <v>298</v>
      </c>
    </row>
    <row r="63" spans="1:147" s="39" customFormat="1" ht="15" customHeight="1">
      <c r="A63" s="30" t="s">
        <v>1130</v>
      </c>
      <c r="B63" s="30">
        <v>60</v>
      </c>
      <c r="C63" s="30">
        <v>49</v>
      </c>
      <c r="D63" s="43">
        <v>2016</v>
      </c>
      <c r="E63" s="39" t="s">
        <v>1234</v>
      </c>
      <c r="F63" s="39" t="s">
        <v>1234</v>
      </c>
      <c r="G63" s="40">
        <v>1</v>
      </c>
      <c r="H63" s="40">
        <v>1</v>
      </c>
      <c r="I63" s="40">
        <v>1</v>
      </c>
      <c r="J63" s="39" t="s">
        <v>1235</v>
      </c>
      <c r="K63" s="39" t="s">
        <v>1236</v>
      </c>
      <c r="L63" s="30" t="s">
        <v>639</v>
      </c>
      <c r="M63" s="39" t="s">
        <v>1237</v>
      </c>
      <c r="N63" s="43">
        <v>5</v>
      </c>
      <c r="O63" s="39" t="s">
        <v>1238</v>
      </c>
      <c r="P63" s="30" t="s">
        <v>431</v>
      </c>
      <c r="Q63" s="39" t="s">
        <v>1239</v>
      </c>
      <c r="R63" s="39" t="s">
        <v>1746</v>
      </c>
      <c r="S63" s="30" t="s">
        <v>325</v>
      </c>
      <c r="T63" s="30" t="s">
        <v>264</v>
      </c>
      <c r="U63" s="30" t="s">
        <v>790</v>
      </c>
      <c r="V63" s="39" t="s">
        <v>1240</v>
      </c>
      <c r="W63" s="39" t="s">
        <v>435</v>
      </c>
      <c r="X63" s="10">
        <v>5.36</v>
      </c>
      <c r="Y63" s="10">
        <v>3.21</v>
      </c>
      <c r="Z63" s="10">
        <v>2.72</v>
      </c>
      <c r="AA63" s="43">
        <v>350</v>
      </c>
      <c r="AB63" s="52" t="s">
        <v>1721</v>
      </c>
      <c r="AC63" s="10">
        <v>1996</v>
      </c>
      <c r="AD63" s="10">
        <v>2011</v>
      </c>
      <c r="AE63" s="1">
        <f>(24.6+36+36.6)/3</f>
        <v>32.4</v>
      </c>
      <c r="AF63" s="52" t="s">
        <v>664</v>
      </c>
      <c r="AG63" s="52" t="s">
        <v>270</v>
      </c>
      <c r="AH63" s="52" t="s">
        <v>1241</v>
      </c>
      <c r="AI63" s="52" t="s">
        <v>272</v>
      </c>
      <c r="AJ63" s="1" t="s">
        <v>1242</v>
      </c>
      <c r="AK63" s="52" t="s">
        <v>274</v>
      </c>
      <c r="AL63" s="52" t="s">
        <v>1243</v>
      </c>
      <c r="AM63" s="52" t="s">
        <v>276</v>
      </c>
      <c r="AN63" s="43" t="s">
        <v>277</v>
      </c>
      <c r="AO63" s="44">
        <v>1</v>
      </c>
      <c r="AP63" s="44">
        <v>0</v>
      </c>
      <c r="AQ63" s="44">
        <v>43</v>
      </c>
      <c r="AR63" s="44">
        <v>16</v>
      </c>
      <c r="AS63" s="44">
        <v>4</v>
      </c>
      <c r="AT63" s="44">
        <v>1969</v>
      </c>
      <c r="AU63" s="44">
        <v>1969</v>
      </c>
      <c r="AV63" s="44">
        <v>1969</v>
      </c>
      <c r="AW63" t="s">
        <v>351</v>
      </c>
      <c r="AX63" t="s">
        <v>1244</v>
      </c>
      <c r="AY63" s="52" t="s">
        <v>282</v>
      </c>
      <c r="AZ63" s="52" t="s">
        <v>1245</v>
      </c>
      <c r="BA63" s="52" t="s">
        <v>1246</v>
      </c>
      <c r="BB63" t="s">
        <v>1247</v>
      </c>
      <c r="BC63" s="2" t="s">
        <v>284</v>
      </c>
      <c r="BD63" s="2" t="s">
        <v>277</v>
      </c>
      <c r="BE63" s="3" t="s">
        <v>284</v>
      </c>
      <c r="BF63" s="2" t="s">
        <v>277</v>
      </c>
      <c r="BG63" s="3" t="s">
        <v>919</v>
      </c>
      <c r="BH63" s="2" t="s">
        <v>1248</v>
      </c>
      <c r="BI63" s="2" t="s">
        <v>380</v>
      </c>
      <c r="BJ63" s="2" t="s">
        <v>1248</v>
      </c>
      <c r="BK63" s="2" t="s">
        <v>531</v>
      </c>
      <c r="BL63" s="2" t="s">
        <v>1249</v>
      </c>
      <c r="BM63" t="s">
        <v>1250</v>
      </c>
      <c r="BN63" s="2" t="s">
        <v>1251</v>
      </c>
      <c r="BO63" s="2" t="s">
        <v>284</v>
      </c>
      <c r="BP63" s="2" t="s">
        <v>277</v>
      </c>
      <c r="BQ63" s="2" t="s">
        <v>362</v>
      </c>
      <c r="BR63" s="26" t="s">
        <v>277</v>
      </c>
      <c r="BS63" s="2" t="s">
        <v>362</v>
      </c>
      <c r="BT63" s="2" t="s">
        <v>277</v>
      </c>
      <c r="BU63" s="2" t="s">
        <v>284</v>
      </c>
      <c r="BV63" s="2" t="s">
        <v>277</v>
      </c>
      <c r="BW63" s="52" t="s">
        <v>560</v>
      </c>
      <c r="BX63" s="1" t="s">
        <v>1017</v>
      </c>
      <c r="BY63" s="72" t="s">
        <v>1252</v>
      </c>
      <c r="BZ63" s="72" t="s">
        <v>1253</v>
      </c>
      <c r="CA63" t="s">
        <v>1254</v>
      </c>
      <c r="CB63" t="s">
        <v>1255</v>
      </c>
      <c r="CC63" t="s">
        <v>1256</v>
      </c>
      <c r="CD63">
        <v>50.31</v>
      </c>
      <c r="CE63">
        <v>41.86</v>
      </c>
      <c r="CF63" s="49">
        <f>41.86/(50.31+41.86)</f>
        <v>0.45416078984485186</v>
      </c>
      <c r="CG63" s="48">
        <f>IF(Data!$CB63="NA",".",Data!$CF63-(1-Data!$CF63))</f>
        <v>-0.09167842031029627</v>
      </c>
      <c r="CH63" t="s">
        <v>277</v>
      </c>
      <c r="CI63" s="17">
        <v>0</v>
      </c>
      <c r="CJ63" s="17">
        <v>1</v>
      </c>
      <c r="CK63" s="17">
        <v>0</v>
      </c>
      <c r="CL63" s="10" t="s">
        <v>303</v>
      </c>
      <c r="CM63" s="10" t="s">
        <v>298</v>
      </c>
      <c r="CN63" s="10" t="s">
        <v>299</v>
      </c>
      <c r="CO63" s="10" t="s">
        <v>299</v>
      </c>
      <c r="CP63" s="10" t="s">
        <v>299</v>
      </c>
      <c r="CQ63" s="10" t="s">
        <v>299</v>
      </c>
      <c r="CR63" s="10" t="s">
        <v>299</v>
      </c>
      <c r="CS63" s="10" t="s">
        <v>298</v>
      </c>
      <c r="CT63" s="10" t="s">
        <v>298</v>
      </c>
      <c r="CU63" s="10" t="s">
        <v>299</v>
      </c>
      <c r="CV63" s="10" t="s">
        <v>299</v>
      </c>
      <c r="CW63" s="10" t="s">
        <v>298</v>
      </c>
      <c r="CX63" s="10" t="s">
        <v>298</v>
      </c>
      <c r="CY63" s="10" t="s">
        <v>298</v>
      </c>
      <c r="CZ63" s="10" t="s">
        <v>298</v>
      </c>
      <c r="DA63" s="10" t="s">
        <v>298</v>
      </c>
      <c r="DB63" s="10" t="s">
        <v>298</v>
      </c>
      <c r="DC63" s="10" t="s">
        <v>298</v>
      </c>
      <c r="DD63" s="10" t="s">
        <v>298</v>
      </c>
      <c r="DE63" s="10" t="s">
        <v>299</v>
      </c>
      <c r="DF63" s="10" t="s">
        <v>299</v>
      </c>
      <c r="DG63" s="10" t="s">
        <v>298</v>
      </c>
      <c r="DH63" s="10" t="s">
        <v>298</v>
      </c>
      <c r="DI63" s="10" t="s">
        <v>298</v>
      </c>
      <c r="DJ63" t="s">
        <v>1257</v>
      </c>
      <c r="DK63" s="73" t="s">
        <v>1258</v>
      </c>
      <c r="DL63" s="52">
        <v>50.46</v>
      </c>
      <c r="DM63" s="52">
        <v>42.79</v>
      </c>
      <c r="DN63" s="48">
        <f>DM63/(DM63+DL63)</f>
        <v>0.4588739946380697</v>
      </c>
      <c r="DO63" s="48">
        <f>DN63-(1-DN63)</f>
        <v>-0.08225201072386051</v>
      </c>
      <c r="DP63" s="71" t="s">
        <v>1259</v>
      </c>
      <c r="DQ63" s="50">
        <v>0</v>
      </c>
      <c r="DR63" s="50">
        <v>1</v>
      </c>
      <c r="DS63" s="50">
        <v>0</v>
      </c>
      <c r="DT63" s="10" t="s">
        <v>303</v>
      </c>
      <c r="DU63" s="10" t="s">
        <v>298</v>
      </c>
      <c r="DV63" s="10" t="s">
        <v>299</v>
      </c>
      <c r="DW63" s="10" t="s">
        <v>299</v>
      </c>
      <c r="DX63" s="10" t="s">
        <v>299</v>
      </c>
      <c r="DY63" s="10" t="s">
        <v>299</v>
      </c>
      <c r="DZ63" s="10" t="s">
        <v>299</v>
      </c>
      <c r="EA63" s="10" t="s">
        <v>298</v>
      </c>
      <c r="EB63" s="10" t="s">
        <v>298</v>
      </c>
      <c r="EC63" s="10" t="s">
        <v>299</v>
      </c>
      <c r="ED63" s="10" t="s">
        <v>299</v>
      </c>
      <c r="EE63" s="10" t="s">
        <v>298</v>
      </c>
      <c r="EF63" s="10" t="s">
        <v>298</v>
      </c>
      <c r="EG63" s="10" t="s">
        <v>450</v>
      </c>
      <c r="EH63" s="10" t="s">
        <v>298</v>
      </c>
      <c r="EI63" s="10" t="s">
        <v>298</v>
      </c>
      <c r="EJ63" s="10" t="s">
        <v>298</v>
      </c>
      <c r="EK63" s="10" t="s">
        <v>298</v>
      </c>
      <c r="EL63" s="10" t="s">
        <v>298</v>
      </c>
      <c r="EM63" s="10" t="s">
        <v>299</v>
      </c>
      <c r="EN63" s="10" t="s">
        <v>299</v>
      </c>
      <c r="EO63" s="10" t="s">
        <v>298</v>
      </c>
      <c r="EP63" s="10" t="s">
        <v>298</v>
      </c>
      <c r="EQ63" s="10" t="s">
        <v>298</v>
      </c>
    </row>
    <row r="64" spans="1:147" ht="15" customHeight="1">
      <c r="A64" s="30" t="s">
        <v>1130</v>
      </c>
      <c r="B64" s="1">
        <v>61</v>
      </c>
      <c r="C64" s="1">
        <v>50</v>
      </c>
      <c r="D64" s="10">
        <v>2018</v>
      </c>
      <c r="E64" t="s">
        <v>1260</v>
      </c>
      <c r="F64" t="s">
        <v>1260</v>
      </c>
      <c r="G64" s="16">
        <v>2</v>
      </c>
      <c r="H64" s="16">
        <v>2</v>
      </c>
      <c r="I64" s="16">
        <v>1</v>
      </c>
      <c r="J64" t="s">
        <v>1261</v>
      </c>
      <c r="K64" t="s">
        <v>1262</v>
      </c>
      <c r="L64" s="1" t="s">
        <v>258</v>
      </c>
      <c r="M64" t="s">
        <v>1263</v>
      </c>
      <c r="N64" s="10">
        <v>1</v>
      </c>
      <c r="O64" t="s">
        <v>1264</v>
      </c>
      <c r="P64" s="1" t="s">
        <v>431</v>
      </c>
      <c r="Q64" t="s">
        <v>695</v>
      </c>
      <c r="R64" t="s">
        <v>1737</v>
      </c>
      <c r="S64" s="1" t="s">
        <v>412</v>
      </c>
      <c r="T64" s="1" t="s">
        <v>264</v>
      </c>
      <c r="U64" s="1" t="s">
        <v>265</v>
      </c>
      <c r="V64" t="s">
        <v>1265</v>
      </c>
      <c r="W64" t="s">
        <v>435</v>
      </c>
      <c r="X64" s="10">
        <v>1.03</v>
      </c>
      <c r="Y64" s="10">
        <v>5.8</v>
      </c>
      <c r="Z64" s="10">
        <v>5.54</v>
      </c>
      <c r="AA64" s="10">
        <v>150</v>
      </c>
      <c r="AB64" s="1" t="s">
        <v>1266</v>
      </c>
      <c r="AC64" s="10">
        <v>2006</v>
      </c>
      <c r="AD64" s="10">
        <v>2012</v>
      </c>
      <c r="AE64" s="10">
        <v>36.7</v>
      </c>
      <c r="AF64" s="1" t="s">
        <v>439</v>
      </c>
      <c r="AG64" s="1" t="s">
        <v>590</v>
      </c>
      <c r="AH64" s="1" t="s">
        <v>1267</v>
      </c>
      <c r="AI64" s="1" t="s">
        <v>272</v>
      </c>
      <c r="AJ64" s="1" t="s">
        <v>1267</v>
      </c>
      <c r="AK64" s="1" t="s">
        <v>439</v>
      </c>
      <c r="AL64" s="1" t="s">
        <v>1268</v>
      </c>
      <c r="AM64" s="1" t="s">
        <v>276</v>
      </c>
      <c r="AN64" s="10" t="s">
        <v>277</v>
      </c>
      <c r="AO64" s="17">
        <v>1</v>
      </c>
      <c r="AP64" s="17">
        <v>3</v>
      </c>
      <c r="AQ64" s="17">
        <v>21</v>
      </c>
      <c r="AR64" s="17">
        <v>5</v>
      </c>
      <c r="AS64" s="17">
        <v>12</v>
      </c>
      <c r="AT64" s="17">
        <v>202631</v>
      </c>
      <c r="AU64" s="17">
        <v>57126</v>
      </c>
      <c r="AV64" s="17">
        <v>3312</v>
      </c>
      <c r="AW64" t="s">
        <v>1269</v>
      </c>
      <c r="AX64" t="s">
        <v>1270</v>
      </c>
      <c r="AY64" s="1" t="s">
        <v>330</v>
      </c>
      <c r="AZ64" t="s">
        <v>1271</v>
      </c>
      <c r="BA64" t="s">
        <v>284</v>
      </c>
      <c r="BB64" t="s">
        <v>277</v>
      </c>
      <c r="BC64" s="2" t="s">
        <v>284</v>
      </c>
      <c r="BD64" s="2" t="s">
        <v>277</v>
      </c>
      <c r="BE64" s="3" t="s">
        <v>284</v>
      </c>
      <c r="BF64" s="2" t="s">
        <v>277</v>
      </c>
      <c r="BG64" t="s">
        <v>284</v>
      </c>
      <c r="BH64" s="2" t="s">
        <v>277</v>
      </c>
      <c r="BI64" s="2" t="s">
        <v>284</v>
      </c>
      <c r="BJ64" s="2" t="s">
        <v>277</v>
      </c>
      <c r="BK64" t="s">
        <v>284</v>
      </c>
      <c r="BL64" s="2" t="s">
        <v>277</v>
      </c>
      <c r="BM64" t="s">
        <v>284</v>
      </c>
      <c r="BN64" s="2" t="s">
        <v>1272</v>
      </c>
      <c r="BO64" s="2" t="s">
        <v>284</v>
      </c>
      <c r="BP64" s="2" t="s">
        <v>277</v>
      </c>
      <c r="BQ64" s="2" t="s">
        <v>362</v>
      </c>
      <c r="BR64" s="26" t="s">
        <v>277</v>
      </c>
      <c r="BS64" s="2" t="s">
        <v>362</v>
      </c>
      <c r="BT64" s="2" t="s">
        <v>277</v>
      </c>
      <c r="BU64" s="2" t="s">
        <v>558</v>
      </c>
      <c r="BV64" s="2" t="s">
        <v>1273</v>
      </c>
      <c r="BW64" s="1" t="s">
        <v>284</v>
      </c>
      <c r="BX64" s="1" t="s">
        <v>277</v>
      </c>
      <c r="BY64" s="2" t="s">
        <v>284</v>
      </c>
      <c r="BZ64" s="2" t="s">
        <v>277</v>
      </c>
      <c r="CA64" s="2" t="s">
        <v>1274</v>
      </c>
      <c r="CB64" t="s">
        <v>1275</v>
      </c>
      <c r="CC64" t="s">
        <v>1276</v>
      </c>
      <c r="CD64" s="49">
        <v>273.61</v>
      </c>
      <c r="CE64" s="49">
        <v>259.39</v>
      </c>
      <c r="CF64" s="48">
        <f aca="true" t="shared" si="2" ref="CF64:CF75">CE64/(CE64+CD64)</f>
        <v>0.4866604127579737</v>
      </c>
      <c r="CG64" s="48">
        <f>IF(Data!$CB64="NA",".",Data!$CF64-(1-Data!$CF64))</f>
        <v>-0.026679174484052603</v>
      </c>
      <c r="CH64" t="s">
        <v>1277</v>
      </c>
      <c r="CI64" s="17">
        <v>0</v>
      </c>
      <c r="CJ64" s="17">
        <v>0</v>
      </c>
      <c r="CK64" s="17">
        <v>0</v>
      </c>
      <c r="CL64" s="10" t="s">
        <v>303</v>
      </c>
      <c r="CM64" s="10" t="s">
        <v>298</v>
      </c>
      <c r="CN64" s="10" t="s">
        <v>299</v>
      </c>
      <c r="CO64" s="10" t="s">
        <v>299</v>
      </c>
      <c r="CP64" s="10" t="s">
        <v>298</v>
      </c>
      <c r="CQ64" s="10" t="s">
        <v>299</v>
      </c>
      <c r="CR64" s="10" t="s">
        <v>299</v>
      </c>
      <c r="CS64" s="10" t="s">
        <v>298</v>
      </c>
      <c r="CT64" s="10" t="s">
        <v>298</v>
      </c>
      <c r="CU64" s="10" t="s">
        <v>298</v>
      </c>
      <c r="CV64" s="10" t="s">
        <v>298</v>
      </c>
      <c r="CW64" s="10" t="s">
        <v>299</v>
      </c>
      <c r="CX64" s="10" t="s">
        <v>450</v>
      </c>
      <c r="CY64" s="10" t="s">
        <v>298</v>
      </c>
      <c r="CZ64" s="10" t="s">
        <v>300</v>
      </c>
      <c r="DA64" s="10" t="s">
        <v>298</v>
      </c>
      <c r="DB64" s="10" t="s">
        <v>298</v>
      </c>
      <c r="DC64" s="10" t="s">
        <v>450</v>
      </c>
      <c r="DD64" s="10" t="s">
        <v>298</v>
      </c>
      <c r="DE64" s="10" t="s">
        <v>299</v>
      </c>
      <c r="DF64" s="10" t="s">
        <v>299</v>
      </c>
      <c r="DG64" s="10" t="s">
        <v>299</v>
      </c>
      <c r="DH64" s="10" t="s">
        <v>298</v>
      </c>
      <c r="DI64" s="10" t="s">
        <v>298</v>
      </c>
      <c r="DJ64" s="1" t="s">
        <v>277</v>
      </c>
      <c r="DK64" s="1" t="s">
        <v>277</v>
      </c>
      <c r="DL64" s="1" t="s">
        <v>278</v>
      </c>
      <c r="DM64" s="1" t="s">
        <v>278</v>
      </c>
      <c r="DN64" s="48" t="s">
        <v>278</v>
      </c>
      <c r="DO64" s="48" t="s">
        <v>278</v>
      </c>
      <c r="DP64" s="1" t="s">
        <v>277</v>
      </c>
      <c r="DQ64" s="17" t="s">
        <v>278</v>
      </c>
      <c r="DR64" s="17" t="s">
        <v>278</v>
      </c>
      <c r="DS64" s="17" t="s">
        <v>278</v>
      </c>
      <c r="DT64" s="1" t="s">
        <v>277</v>
      </c>
      <c r="DU64" s="1" t="s">
        <v>277</v>
      </c>
      <c r="DV64" s="1" t="s">
        <v>277</v>
      </c>
      <c r="DW64" s="1" t="s">
        <v>277</v>
      </c>
      <c r="DX64" s="1" t="s">
        <v>277</v>
      </c>
      <c r="DY64" s="1" t="s">
        <v>277</v>
      </c>
      <c r="DZ64" s="1" t="s">
        <v>277</v>
      </c>
      <c r="EA64" s="1" t="s">
        <v>277</v>
      </c>
      <c r="EB64" s="1" t="s">
        <v>277</v>
      </c>
      <c r="EC64" s="1" t="s">
        <v>277</v>
      </c>
      <c r="ED64" s="1" t="s">
        <v>277</v>
      </c>
      <c r="EE64" s="1" t="s">
        <v>277</v>
      </c>
      <c r="EF64" s="1" t="s">
        <v>277</v>
      </c>
      <c r="EG64" s="1" t="s">
        <v>277</v>
      </c>
      <c r="EH64" s="1" t="s">
        <v>277</v>
      </c>
      <c r="EI64" s="1" t="s">
        <v>277</v>
      </c>
      <c r="EJ64" s="1" t="s">
        <v>277</v>
      </c>
      <c r="EK64" s="1" t="s">
        <v>277</v>
      </c>
      <c r="EL64" s="1" t="s">
        <v>277</v>
      </c>
      <c r="EM64" s="1" t="s">
        <v>277</v>
      </c>
      <c r="EN64" s="1" t="s">
        <v>277</v>
      </c>
      <c r="EO64" s="1" t="s">
        <v>277</v>
      </c>
      <c r="EP64" s="1" t="s">
        <v>277</v>
      </c>
      <c r="EQ64" s="1" t="s">
        <v>277</v>
      </c>
    </row>
    <row r="65" spans="1:147" ht="15" customHeight="1">
      <c r="A65" s="30" t="s">
        <v>1130</v>
      </c>
      <c r="B65" s="1">
        <v>62</v>
      </c>
      <c r="C65" s="1">
        <v>50</v>
      </c>
      <c r="D65" s="10">
        <v>2018</v>
      </c>
      <c r="E65" t="s">
        <v>1260</v>
      </c>
      <c r="F65" t="s">
        <v>1260</v>
      </c>
      <c r="G65" s="16">
        <v>2</v>
      </c>
      <c r="H65" s="16">
        <v>2</v>
      </c>
      <c r="I65" s="16">
        <v>1</v>
      </c>
      <c r="J65" t="s">
        <v>1261</v>
      </c>
      <c r="K65" t="s">
        <v>1262</v>
      </c>
      <c r="L65" s="1" t="s">
        <v>258</v>
      </c>
      <c r="M65" t="s">
        <v>1263</v>
      </c>
      <c r="N65" s="10">
        <v>1</v>
      </c>
      <c r="O65" t="s">
        <v>1264</v>
      </c>
      <c r="P65" s="1" t="s">
        <v>431</v>
      </c>
      <c r="Q65" t="s">
        <v>1239</v>
      </c>
      <c r="R65" s="39" t="s">
        <v>1746</v>
      </c>
      <c r="S65" s="1" t="s">
        <v>325</v>
      </c>
      <c r="T65" s="1" t="s">
        <v>264</v>
      </c>
      <c r="U65" s="1" t="s">
        <v>790</v>
      </c>
      <c r="V65" t="s">
        <v>1265</v>
      </c>
      <c r="W65" t="s">
        <v>435</v>
      </c>
      <c r="X65" s="10">
        <v>1.03</v>
      </c>
      <c r="Y65" s="10">
        <v>5.8</v>
      </c>
      <c r="Z65" s="10">
        <v>5.54</v>
      </c>
      <c r="AA65" s="10">
        <v>150</v>
      </c>
      <c r="AB65" s="1" t="s">
        <v>1266</v>
      </c>
      <c r="AC65" s="10">
        <v>2006</v>
      </c>
      <c r="AD65" s="10">
        <v>2012</v>
      </c>
      <c r="AE65" s="10">
        <v>36.7</v>
      </c>
      <c r="AF65" s="1" t="s">
        <v>439</v>
      </c>
      <c r="AG65" s="1" t="s">
        <v>590</v>
      </c>
      <c r="AH65" s="1" t="s">
        <v>1267</v>
      </c>
      <c r="AI65" s="1" t="s">
        <v>272</v>
      </c>
      <c r="AJ65" s="1" t="s">
        <v>1267</v>
      </c>
      <c r="AK65" s="1" t="s">
        <v>439</v>
      </c>
      <c r="AL65" s="1" t="s">
        <v>1278</v>
      </c>
      <c r="AM65" s="1" t="s">
        <v>276</v>
      </c>
      <c r="AN65" s="10" t="s">
        <v>277</v>
      </c>
      <c r="AO65" s="17">
        <v>1</v>
      </c>
      <c r="AP65" s="17">
        <v>3</v>
      </c>
      <c r="AQ65" s="17">
        <v>39</v>
      </c>
      <c r="AR65" s="17">
        <v>8</v>
      </c>
      <c r="AS65" s="17">
        <v>12</v>
      </c>
      <c r="AT65" s="17">
        <v>202631</v>
      </c>
      <c r="AU65" s="17">
        <v>57126</v>
      </c>
      <c r="AV65" s="17">
        <v>3740</v>
      </c>
      <c r="AW65" t="s">
        <v>1279</v>
      </c>
      <c r="AX65" t="s">
        <v>1280</v>
      </c>
      <c r="AY65" s="1" t="s">
        <v>352</v>
      </c>
      <c r="AZ65" t="s">
        <v>1281</v>
      </c>
      <c r="BA65" t="s">
        <v>284</v>
      </c>
      <c r="BB65" t="s">
        <v>277</v>
      </c>
      <c r="BC65" s="2" t="s">
        <v>284</v>
      </c>
      <c r="BD65" s="2" t="s">
        <v>277</v>
      </c>
      <c r="BE65" s="3" t="s">
        <v>284</v>
      </c>
      <c r="BF65" s="2" t="s">
        <v>277</v>
      </c>
      <c r="BG65" s="3" t="s">
        <v>284</v>
      </c>
      <c r="BH65" s="2" t="s">
        <v>277</v>
      </c>
      <c r="BI65" s="2" t="s">
        <v>284</v>
      </c>
      <c r="BJ65" s="2" t="s">
        <v>277</v>
      </c>
      <c r="BK65" s="2" t="s">
        <v>284</v>
      </c>
      <c r="BL65" s="2" t="s">
        <v>277</v>
      </c>
      <c r="BM65" t="s">
        <v>284</v>
      </c>
      <c r="BN65" s="26" t="s">
        <v>1282</v>
      </c>
      <c r="BO65" s="2" t="s">
        <v>284</v>
      </c>
      <c r="BP65" s="2" t="s">
        <v>277</v>
      </c>
      <c r="BQ65" s="2" t="s">
        <v>362</v>
      </c>
      <c r="BR65" s="26" t="s">
        <v>277</v>
      </c>
      <c r="BS65" s="2" t="s">
        <v>362</v>
      </c>
      <c r="BT65" s="2" t="s">
        <v>277</v>
      </c>
      <c r="BU65" s="2" t="s">
        <v>558</v>
      </c>
      <c r="BV65" s="2" t="s">
        <v>1283</v>
      </c>
      <c r="BW65" s="1" t="s">
        <v>284</v>
      </c>
      <c r="BX65" s="1" t="s">
        <v>277</v>
      </c>
      <c r="BY65" s="2" t="s">
        <v>284</v>
      </c>
      <c r="BZ65" s="2" t="s">
        <v>277</v>
      </c>
      <c r="CA65" s="2" t="s">
        <v>277</v>
      </c>
      <c r="CB65" t="s">
        <v>1275</v>
      </c>
      <c r="CC65" t="s">
        <v>1284</v>
      </c>
      <c r="CD65" s="49">
        <v>181.78</v>
      </c>
      <c r="CE65" s="49">
        <v>169.2</v>
      </c>
      <c r="CF65" s="48">
        <f t="shared" si="2"/>
        <v>0.4820787509259786</v>
      </c>
      <c r="CG65" s="48">
        <f>IF(Data!$CB65="NA",".",Data!$CF65-(1-Data!$CF65))</f>
        <v>-0.035842498148042745</v>
      </c>
      <c r="CH65" t="s">
        <v>1277</v>
      </c>
      <c r="CI65" s="17">
        <v>0</v>
      </c>
      <c r="CJ65" s="17">
        <v>0</v>
      </c>
      <c r="CK65" s="17">
        <v>0</v>
      </c>
      <c r="CL65" s="10" t="s">
        <v>303</v>
      </c>
      <c r="CM65" s="10" t="s">
        <v>298</v>
      </c>
      <c r="CN65" s="10" t="s">
        <v>299</v>
      </c>
      <c r="CO65" s="10" t="s">
        <v>299</v>
      </c>
      <c r="CP65" s="10" t="s">
        <v>298</v>
      </c>
      <c r="CQ65" s="10" t="s">
        <v>299</v>
      </c>
      <c r="CR65" s="10" t="s">
        <v>299</v>
      </c>
      <c r="CS65" s="10" t="s">
        <v>298</v>
      </c>
      <c r="CT65" s="10" t="s">
        <v>298</v>
      </c>
      <c r="CU65" s="10" t="s">
        <v>299</v>
      </c>
      <c r="CV65" s="10" t="s">
        <v>298</v>
      </c>
      <c r="CW65" s="10" t="s">
        <v>298</v>
      </c>
      <c r="CX65" s="10" t="s">
        <v>450</v>
      </c>
      <c r="CY65" s="10" t="s">
        <v>450</v>
      </c>
      <c r="CZ65" s="10" t="s">
        <v>298</v>
      </c>
      <c r="DA65" s="10" t="s">
        <v>450</v>
      </c>
      <c r="DB65" s="10" t="s">
        <v>298</v>
      </c>
      <c r="DC65" s="10" t="s">
        <v>298</v>
      </c>
      <c r="DD65" s="10" t="s">
        <v>298</v>
      </c>
      <c r="DE65" s="10" t="s">
        <v>299</v>
      </c>
      <c r="DF65" s="10" t="s">
        <v>299</v>
      </c>
      <c r="DG65" s="10" t="s">
        <v>299</v>
      </c>
      <c r="DH65" s="10" t="s">
        <v>298</v>
      </c>
      <c r="DI65" s="10" t="s">
        <v>298</v>
      </c>
      <c r="DJ65" s="1" t="s">
        <v>277</v>
      </c>
      <c r="DK65" s="1" t="s">
        <v>277</v>
      </c>
      <c r="DL65" s="1" t="s">
        <v>278</v>
      </c>
      <c r="DM65" s="1" t="s">
        <v>278</v>
      </c>
      <c r="DN65" s="48" t="s">
        <v>278</v>
      </c>
      <c r="DO65" s="48" t="s">
        <v>278</v>
      </c>
      <c r="DP65" s="1" t="s">
        <v>277</v>
      </c>
      <c r="DQ65" s="17" t="s">
        <v>278</v>
      </c>
      <c r="DR65" s="17" t="s">
        <v>278</v>
      </c>
      <c r="DS65" s="17" t="s">
        <v>278</v>
      </c>
      <c r="DT65" s="1" t="s">
        <v>277</v>
      </c>
      <c r="DU65" s="1" t="s">
        <v>277</v>
      </c>
      <c r="DV65" s="1" t="s">
        <v>277</v>
      </c>
      <c r="DW65" s="1" t="s">
        <v>277</v>
      </c>
      <c r="DX65" s="1" t="s">
        <v>277</v>
      </c>
      <c r="DY65" s="1" t="s">
        <v>277</v>
      </c>
      <c r="DZ65" s="1" t="s">
        <v>277</v>
      </c>
      <c r="EA65" s="1" t="s">
        <v>277</v>
      </c>
      <c r="EB65" s="1" t="s">
        <v>277</v>
      </c>
      <c r="EC65" s="1" t="s">
        <v>277</v>
      </c>
      <c r="ED65" s="1" t="s">
        <v>277</v>
      </c>
      <c r="EE65" s="1" t="s">
        <v>277</v>
      </c>
      <c r="EF65" s="1" t="s">
        <v>277</v>
      </c>
      <c r="EG65" s="1" t="s">
        <v>277</v>
      </c>
      <c r="EH65" s="1" t="s">
        <v>277</v>
      </c>
      <c r="EI65" s="1" t="s">
        <v>277</v>
      </c>
      <c r="EJ65" s="1" t="s">
        <v>277</v>
      </c>
      <c r="EK65" s="1" t="s">
        <v>277</v>
      </c>
      <c r="EL65" s="1" t="s">
        <v>277</v>
      </c>
      <c r="EM65" s="1" t="s">
        <v>277</v>
      </c>
      <c r="EN65" s="1" t="s">
        <v>277</v>
      </c>
      <c r="EO65" s="1" t="s">
        <v>277</v>
      </c>
      <c r="EP65" s="1" t="s">
        <v>277</v>
      </c>
      <c r="EQ65" s="1" t="s">
        <v>277</v>
      </c>
    </row>
    <row r="66" spans="1:147" ht="15.75" customHeight="1">
      <c r="A66" s="30" t="s">
        <v>1130</v>
      </c>
      <c r="B66" s="1">
        <v>63</v>
      </c>
      <c r="C66" s="1">
        <v>51</v>
      </c>
      <c r="D66" s="10">
        <v>2010</v>
      </c>
      <c r="E66" s="12" t="s">
        <v>1285</v>
      </c>
      <c r="F66" s="12" t="s">
        <v>1285</v>
      </c>
      <c r="G66" s="16">
        <v>1</v>
      </c>
      <c r="H66" s="16">
        <v>1</v>
      </c>
      <c r="I66" s="16">
        <v>1</v>
      </c>
      <c r="J66" t="s">
        <v>1286</v>
      </c>
      <c r="K66" t="s">
        <v>1287</v>
      </c>
      <c r="L66" s="1" t="s">
        <v>639</v>
      </c>
      <c r="M66" t="s">
        <v>1288</v>
      </c>
      <c r="N66" s="10">
        <v>9</v>
      </c>
      <c r="O66" t="s">
        <v>1289</v>
      </c>
      <c r="P66" s="1" t="s">
        <v>642</v>
      </c>
      <c r="Q66" t="s">
        <v>695</v>
      </c>
      <c r="R66" t="s">
        <v>1737</v>
      </c>
      <c r="S66" s="1" t="s">
        <v>412</v>
      </c>
      <c r="T66" s="1" t="s">
        <v>264</v>
      </c>
      <c r="U66" s="1" t="s">
        <v>265</v>
      </c>
      <c r="V66" t="s">
        <v>1290</v>
      </c>
      <c r="W66" t="s">
        <v>697</v>
      </c>
      <c r="X66" s="10">
        <v>9.6</v>
      </c>
      <c r="Y66" s="10">
        <v>2.19</v>
      </c>
      <c r="Z66" s="10">
        <v>1.97</v>
      </c>
      <c r="AA66" s="10">
        <v>162</v>
      </c>
      <c r="AB66" s="10">
        <v>1998</v>
      </c>
      <c r="AC66" s="10">
        <v>1998</v>
      </c>
      <c r="AD66" s="10">
        <v>1998</v>
      </c>
      <c r="AE66" s="10">
        <v>15.1</v>
      </c>
      <c r="AF66" s="1" t="s">
        <v>269</v>
      </c>
      <c r="AG66" s="1" t="s">
        <v>270</v>
      </c>
      <c r="AH66" t="s">
        <v>1291</v>
      </c>
      <c r="AI66" s="1" t="s">
        <v>272</v>
      </c>
      <c r="AJ66" t="s">
        <v>1292</v>
      </c>
      <c r="AK66" s="1" t="s">
        <v>274</v>
      </c>
      <c r="AL66" s="1" t="s">
        <v>490</v>
      </c>
      <c r="AM66" t="s">
        <v>375</v>
      </c>
      <c r="AN66" s="10" t="s">
        <v>1293</v>
      </c>
      <c r="AO66" s="17">
        <v>1</v>
      </c>
      <c r="AP66" s="17">
        <v>1</v>
      </c>
      <c r="AQ66" s="17">
        <v>3</v>
      </c>
      <c r="AR66" s="17">
        <v>1</v>
      </c>
      <c r="AS66" s="17">
        <v>1</v>
      </c>
      <c r="AT66" s="17">
        <v>8902</v>
      </c>
      <c r="AU66" s="17">
        <v>8902</v>
      </c>
      <c r="AV66" s="17">
        <v>8902</v>
      </c>
      <c r="AW66" t="s">
        <v>1294</v>
      </c>
      <c r="AX66" t="s">
        <v>1295</v>
      </c>
      <c r="AY66" s="1" t="s">
        <v>330</v>
      </c>
      <c r="AZ66" t="s">
        <v>1296</v>
      </c>
      <c r="BA66" t="s">
        <v>284</v>
      </c>
      <c r="BB66" t="s">
        <v>277</v>
      </c>
      <c r="BC66" s="2" t="s">
        <v>1186</v>
      </c>
      <c r="BD66" t="s">
        <v>1297</v>
      </c>
      <c r="BE66" s="3" t="s">
        <v>284</v>
      </c>
      <c r="BF66" t="s">
        <v>277</v>
      </c>
      <c r="BG66" s="3" t="s">
        <v>284</v>
      </c>
      <c r="BH66" t="s">
        <v>277</v>
      </c>
      <c r="BI66" s="2" t="s">
        <v>284</v>
      </c>
      <c r="BJ66" t="s">
        <v>277</v>
      </c>
      <c r="BK66" s="2" t="s">
        <v>284</v>
      </c>
      <c r="BL66" t="s">
        <v>277</v>
      </c>
      <c r="BM66" t="s">
        <v>284</v>
      </c>
      <c r="BN66" t="s">
        <v>277</v>
      </c>
      <c r="BO66" s="2" t="s">
        <v>572</v>
      </c>
      <c r="BP66" t="s">
        <v>1298</v>
      </c>
      <c r="BQ66" s="2" t="s">
        <v>362</v>
      </c>
      <c r="BR66" s="2" t="s">
        <v>277</v>
      </c>
      <c r="BS66" s="2" t="s">
        <v>362</v>
      </c>
      <c r="BT66" s="2" t="s">
        <v>277</v>
      </c>
      <c r="BU66" s="2" t="s">
        <v>284</v>
      </c>
      <c r="BV66" s="2" t="s">
        <v>277</v>
      </c>
      <c r="BW66" s="1" t="s">
        <v>284</v>
      </c>
      <c r="BX66" s="1" t="s">
        <v>277</v>
      </c>
      <c r="BY66" s="2" t="s">
        <v>284</v>
      </c>
      <c r="BZ66" s="2" t="s">
        <v>277</v>
      </c>
      <c r="CA66" s="2" t="s">
        <v>277</v>
      </c>
      <c r="CB66" t="s">
        <v>1299</v>
      </c>
      <c r="CC66" t="s">
        <v>1300</v>
      </c>
      <c r="CD66" s="49">
        <v>2915</v>
      </c>
      <c r="CE66" s="49">
        <v>3072</v>
      </c>
      <c r="CF66" s="48">
        <f t="shared" si="2"/>
        <v>0.5131117421079004</v>
      </c>
      <c r="CG66" s="48">
        <f>IF(Data!$CB66="NA",".",Data!$CF66-(1-Data!$CF66))</f>
        <v>0.026223484215800896</v>
      </c>
      <c r="CH66" s="1" t="s">
        <v>277</v>
      </c>
      <c r="CI66" s="17">
        <v>0</v>
      </c>
      <c r="CJ66" s="17">
        <v>1</v>
      </c>
      <c r="CK66" s="17">
        <v>0</v>
      </c>
      <c r="CL66" s="10" t="s">
        <v>303</v>
      </c>
      <c r="CM66" s="10" t="s">
        <v>298</v>
      </c>
      <c r="CN66" s="10" t="s">
        <v>299</v>
      </c>
      <c r="CO66" s="10" t="s">
        <v>299</v>
      </c>
      <c r="CP66" s="10" t="s">
        <v>299</v>
      </c>
      <c r="CQ66" s="10" t="s">
        <v>299</v>
      </c>
      <c r="CR66" s="10" t="s">
        <v>299</v>
      </c>
      <c r="CS66" s="10" t="s">
        <v>298</v>
      </c>
      <c r="CT66" s="10" t="s">
        <v>366</v>
      </c>
      <c r="CU66" s="10" t="s">
        <v>298</v>
      </c>
      <c r="CV66" s="10" t="s">
        <v>298</v>
      </c>
      <c r="CW66" s="10" t="s">
        <v>299</v>
      </c>
      <c r="CX66" s="10" t="s">
        <v>298</v>
      </c>
      <c r="CY66" s="10" t="s">
        <v>298</v>
      </c>
      <c r="CZ66" s="10" t="s">
        <v>300</v>
      </c>
      <c r="DA66" s="10" t="s">
        <v>298</v>
      </c>
      <c r="DB66" s="10" t="s">
        <v>298</v>
      </c>
      <c r="DC66" s="10" t="s">
        <v>298</v>
      </c>
      <c r="DD66" s="10" t="s">
        <v>298</v>
      </c>
      <c r="DE66" s="10" t="s">
        <v>299</v>
      </c>
      <c r="DF66" s="10" t="s">
        <v>299</v>
      </c>
      <c r="DG66" s="10" t="s">
        <v>299</v>
      </c>
      <c r="DH66" s="10" t="s">
        <v>299</v>
      </c>
      <c r="DI66" s="10" t="s">
        <v>298</v>
      </c>
      <c r="DJ66" s="1" t="s">
        <v>277</v>
      </c>
      <c r="DK66" s="1" t="s">
        <v>277</v>
      </c>
      <c r="DL66" s="1" t="s">
        <v>278</v>
      </c>
      <c r="DM66" s="1" t="s">
        <v>278</v>
      </c>
      <c r="DN66" s="48" t="s">
        <v>278</v>
      </c>
      <c r="DO66" s="48" t="s">
        <v>278</v>
      </c>
      <c r="DP66" s="1" t="s">
        <v>277</v>
      </c>
      <c r="DQ66" s="17" t="s">
        <v>278</v>
      </c>
      <c r="DR66" s="17" t="s">
        <v>278</v>
      </c>
      <c r="DS66" s="17" t="s">
        <v>278</v>
      </c>
      <c r="DT66" s="1" t="s">
        <v>277</v>
      </c>
      <c r="DU66" s="1" t="s">
        <v>277</v>
      </c>
      <c r="DV66" s="1" t="s">
        <v>277</v>
      </c>
      <c r="DW66" s="1" t="s">
        <v>277</v>
      </c>
      <c r="DX66" s="1" t="s">
        <v>277</v>
      </c>
      <c r="DY66" s="1" t="s">
        <v>277</v>
      </c>
      <c r="DZ66" s="1" t="s">
        <v>277</v>
      </c>
      <c r="EA66" s="1" t="s">
        <v>277</v>
      </c>
      <c r="EB66" s="1" t="s">
        <v>277</v>
      </c>
      <c r="EC66" s="1" t="s">
        <v>277</v>
      </c>
      <c r="ED66" s="1" t="s">
        <v>277</v>
      </c>
      <c r="EE66" s="1" t="s">
        <v>277</v>
      </c>
      <c r="EF66" s="1" t="s">
        <v>277</v>
      </c>
      <c r="EG66" s="1" t="s">
        <v>277</v>
      </c>
      <c r="EH66" s="1" t="s">
        <v>277</v>
      </c>
      <c r="EI66" s="1" t="s">
        <v>277</v>
      </c>
      <c r="EJ66" s="1" t="s">
        <v>277</v>
      </c>
      <c r="EK66" s="1" t="s">
        <v>277</v>
      </c>
      <c r="EL66" s="1" t="s">
        <v>277</v>
      </c>
      <c r="EM66" s="1" t="s">
        <v>277</v>
      </c>
      <c r="EN66" s="1" t="s">
        <v>277</v>
      </c>
      <c r="EO66" s="1" t="s">
        <v>277</v>
      </c>
      <c r="EP66" s="1" t="s">
        <v>277</v>
      </c>
      <c r="EQ66" s="1" t="s">
        <v>277</v>
      </c>
    </row>
    <row r="67" spans="1:147" s="1" customFormat="1" ht="15" customHeight="1">
      <c r="A67" s="30" t="s">
        <v>1130</v>
      </c>
      <c r="B67" s="1">
        <v>64</v>
      </c>
      <c r="C67" s="1">
        <v>52</v>
      </c>
      <c r="D67" s="1">
        <v>2003</v>
      </c>
      <c r="E67" s="1" t="s">
        <v>1301</v>
      </c>
      <c r="F67" s="1" t="s">
        <v>1301</v>
      </c>
      <c r="G67" s="16">
        <v>2</v>
      </c>
      <c r="H67" s="16">
        <v>2</v>
      </c>
      <c r="I67" s="16">
        <v>1</v>
      </c>
      <c r="J67" t="s">
        <v>1302</v>
      </c>
      <c r="K67" t="s">
        <v>1303</v>
      </c>
      <c r="L67" s="1" t="s">
        <v>639</v>
      </c>
      <c r="M67" s="1" t="s">
        <v>1304</v>
      </c>
      <c r="N67" s="1">
        <v>42</v>
      </c>
      <c r="O67" s="1" t="s">
        <v>501</v>
      </c>
      <c r="P67" s="1" t="s">
        <v>502</v>
      </c>
      <c r="Q67" t="s">
        <v>695</v>
      </c>
      <c r="R67" t="s">
        <v>1737</v>
      </c>
      <c r="S67" s="1" t="s">
        <v>412</v>
      </c>
      <c r="T67" s="1" t="s">
        <v>264</v>
      </c>
      <c r="U67" s="1" t="s">
        <v>265</v>
      </c>
      <c r="V67" s="1" t="s">
        <v>503</v>
      </c>
      <c r="W67" t="s">
        <v>267</v>
      </c>
      <c r="X67" s="10">
        <v>13.56</v>
      </c>
      <c r="Y67" s="10">
        <v>3.77</v>
      </c>
      <c r="Z67" s="10">
        <v>2.54</v>
      </c>
      <c r="AA67" s="10">
        <v>301</v>
      </c>
      <c r="AB67" s="1">
        <v>2000</v>
      </c>
      <c r="AC67" s="1">
        <v>2000</v>
      </c>
      <c r="AD67" s="1">
        <v>2000</v>
      </c>
      <c r="AE67" s="1">
        <v>20.6</v>
      </c>
      <c r="AF67" s="1" t="s">
        <v>269</v>
      </c>
      <c r="AG67" s="1" t="s">
        <v>270</v>
      </c>
      <c r="AH67" s="1" t="s">
        <v>1305</v>
      </c>
      <c r="AI67" s="1" t="s">
        <v>272</v>
      </c>
      <c r="AJ67" s="1" t="s">
        <v>1306</v>
      </c>
      <c r="AK67" s="1" t="s">
        <v>274</v>
      </c>
      <c r="AL67" s="1" t="s">
        <v>490</v>
      </c>
      <c r="AM67" t="s">
        <v>375</v>
      </c>
      <c r="AN67" s="1" t="s">
        <v>1307</v>
      </c>
      <c r="AO67" s="18">
        <v>1</v>
      </c>
      <c r="AP67" s="18">
        <v>1</v>
      </c>
      <c r="AQ67" s="18">
        <v>5</v>
      </c>
      <c r="AR67" s="18">
        <v>1</v>
      </c>
      <c r="AS67" s="18">
        <v>2</v>
      </c>
      <c r="AT67" s="18">
        <v>1465</v>
      </c>
      <c r="AU67" s="18">
        <v>1465</v>
      </c>
      <c r="AV67" s="18">
        <v>1465</v>
      </c>
      <c r="AW67" s="1" t="s">
        <v>1308</v>
      </c>
      <c r="AX67" s="1" t="s">
        <v>1309</v>
      </c>
      <c r="AY67" s="1" t="s">
        <v>282</v>
      </c>
      <c r="AZ67" s="1" t="s">
        <v>1310</v>
      </c>
      <c r="BA67" t="s">
        <v>284</v>
      </c>
      <c r="BB67" t="s">
        <v>277</v>
      </c>
      <c r="BC67" s="2" t="s">
        <v>1186</v>
      </c>
      <c r="BD67" t="s">
        <v>1311</v>
      </c>
      <c r="BE67" s="3" t="s">
        <v>284</v>
      </c>
      <c r="BF67" t="s">
        <v>277</v>
      </c>
      <c r="BG67" s="3" t="s">
        <v>284</v>
      </c>
      <c r="BH67" t="s">
        <v>277</v>
      </c>
      <c r="BI67" s="2" t="s">
        <v>284</v>
      </c>
      <c r="BJ67" t="s">
        <v>277</v>
      </c>
      <c r="BK67" s="2" t="s">
        <v>284</v>
      </c>
      <c r="BL67" s="2" t="s">
        <v>277</v>
      </c>
      <c r="BM67" t="s">
        <v>284</v>
      </c>
      <c r="BN67" t="s">
        <v>277</v>
      </c>
      <c r="BO67" s="2" t="s">
        <v>626</v>
      </c>
      <c r="BP67" t="s">
        <v>1312</v>
      </c>
      <c r="BQ67" s="2" t="s">
        <v>362</v>
      </c>
      <c r="BR67" s="2" t="s">
        <v>277</v>
      </c>
      <c r="BS67" s="2" t="s">
        <v>362</v>
      </c>
      <c r="BT67" s="2" t="s">
        <v>277</v>
      </c>
      <c r="BU67" s="2" t="s">
        <v>284</v>
      </c>
      <c r="BV67" s="2" t="s">
        <v>277</v>
      </c>
      <c r="BW67" s="1" t="s">
        <v>284</v>
      </c>
      <c r="BX67" s="2" t="s">
        <v>277</v>
      </c>
      <c r="BY67" s="2" t="s">
        <v>284</v>
      </c>
      <c r="BZ67" s="2" t="s">
        <v>277</v>
      </c>
      <c r="CA67" s="2" t="s">
        <v>277</v>
      </c>
      <c r="CB67" s="1" t="s">
        <v>1313</v>
      </c>
      <c r="CC67" s="1" t="s">
        <v>1314</v>
      </c>
      <c r="CD67" s="48">
        <v>13.2</v>
      </c>
      <c r="CE67" s="48">
        <v>9.35</v>
      </c>
      <c r="CF67" s="48">
        <f t="shared" si="2"/>
        <v>0.41463414634146345</v>
      </c>
      <c r="CG67" s="48">
        <f>IF(Data!$CB67="NA",".",Data!$CF67-(1-Data!$CF67))</f>
        <v>-0.1707317073170731</v>
      </c>
      <c r="CH67" s="1" t="s">
        <v>277</v>
      </c>
      <c r="CI67" s="17">
        <v>0</v>
      </c>
      <c r="CJ67" s="17">
        <v>1</v>
      </c>
      <c r="CK67" s="17">
        <v>0</v>
      </c>
      <c r="CL67" s="10" t="s">
        <v>303</v>
      </c>
      <c r="CM67" s="10" t="s">
        <v>298</v>
      </c>
      <c r="CN67" s="10" t="s">
        <v>299</v>
      </c>
      <c r="CO67" s="10" t="s">
        <v>299</v>
      </c>
      <c r="CP67" s="10" t="s">
        <v>299</v>
      </c>
      <c r="CQ67" s="10" t="s">
        <v>299</v>
      </c>
      <c r="CR67" s="10" t="s">
        <v>299</v>
      </c>
      <c r="CS67" s="10" t="s">
        <v>298</v>
      </c>
      <c r="CT67" s="10" t="s">
        <v>538</v>
      </c>
      <c r="CU67" s="10" t="s">
        <v>298</v>
      </c>
      <c r="CV67" s="10" t="s">
        <v>298</v>
      </c>
      <c r="CW67" s="10" t="s">
        <v>299</v>
      </c>
      <c r="CX67" s="10" t="s">
        <v>299</v>
      </c>
      <c r="CY67" s="10" t="s">
        <v>298</v>
      </c>
      <c r="CZ67" s="10" t="s">
        <v>300</v>
      </c>
      <c r="DA67" s="10" t="s">
        <v>298</v>
      </c>
      <c r="DB67" s="10" t="s">
        <v>298</v>
      </c>
      <c r="DC67" s="10" t="s">
        <v>298</v>
      </c>
      <c r="DD67" s="10" t="s">
        <v>298</v>
      </c>
      <c r="DE67" s="10" t="s">
        <v>299</v>
      </c>
      <c r="DF67" s="10" t="s">
        <v>298</v>
      </c>
      <c r="DG67" s="10" t="s">
        <v>298</v>
      </c>
      <c r="DH67" s="10" t="s">
        <v>298</v>
      </c>
      <c r="DI67" s="10" t="s">
        <v>298</v>
      </c>
      <c r="DJ67" s="1" t="s">
        <v>277</v>
      </c>
      <c r="DK67" s="1" t="s">
        <v>277</v>
      </c>
      <c r="DL67" s="1" t="s">
        <v>278</v>
      </c>
      <c r="DM67" s="1" t="s">
        <v>278</v>
      </c>
      <c r="DN67" s="48" t="s">
        <v>278</v>
      </c>
      <c r="DO67" s="48" t="s">
        <v>278</v>
      </c>
      <c r="DP67" s="1" t="s">
        <v>277</v>
      </c>
      <c r="DQ67" s="17" t="s">
        <v>278</v>
      </c>
      <c r="DR67" s="17" t="s">
        <v>278</v>
      </c>
      <c r="DS67" s="17" t="s">
        <v>278</v>
      </c>
      <c r="DT67" s="1" t="s">
        <v>277</v>
      </c>
      <c r="DU67" s="1" t="s">
        <v>277</v>
      </c>
      <c r="DV67" s="1" t="s">
        <v>277</v>
      </c>
      <c r="DW67" s="1" t="s">
        <v>277</v>
      </c>
      <c r="DX67" s="1" t="s">
        <v>277</v>
      </c>
      <c r="DY67" s="1" t="s">
        <v>277</v>
      </c>
      <c r="DZ67" s="1" t="s">
        <v>277</v>
      </c>
      <c r="EA67" s="1" t="s">
        <v>277</v>
      </c>
      <c r="EB67" s="1" t="s">
        <v>277</v>
      </c>
      <c r="EC67" s="1" t="s">
        <v>277</v>
      </c>
      <c r="ED67" s="1" t="s">
        <v>277</v>
      </c>
      <c r="EE67" s="1" t="s">
        <v>277</v>
      </c>
      <c r="EF67" s="1" t="s">
        <v>277</v>
      </c>
      <c r="EG67" s="1" t="s">
        <v>277</v>
      </c>
      <c r="EH67" s="1" t="s">
        <v>277</v>
      </c>
      <c r="EI67" s="1" t="s">
        <v>277</v>
      </c>
      <c r="EJ67" s="1" t="s">
        <v>277</v>
      </c>
      <c r="EK67" s="1" t="s">
        <v>277</v>
      </c>
      <c r="EL67" s="1" t="s">
        <v>277</v>
      </c>
      <c r="EM67" s="1" t="s">
        <v>277</v>
      </c>
      <c r="EN67" s="1" t="s">
        <v>277</v>
      </c>
      <c r="EO67" s="1" t="s">
        <v>277</v>
      </c>
      <c r="EP67" s="1" t="s">
        <v>277</v>
      </c>
      <c r="EQ67" s="1" t="s">
        <v>277</v>
      </c>
    </row>
    <row r="68" spans="1:147" ht="15" customHeight="1">
      <c r="A68" s="30" t="s">
        <v>1130</v>
      </c>
      <c r="B68" s="1">
        <v>65</v>
      </c>
      <c r="C68" s="1">
        <v>53</v>
      </c>
      <c r="D68" s="10">
        <v>2005</v>
      </c>
      <c r="E68" t="s">
        <v>1315</v>
      </c>
      <c r="F68" t="s">
        <v>1315</v>
      </c>
      <c r="G68" s="16">
        <v>1</v>
      </c>
      <c r="H68" s="16">
        <v>1</v>
      </c>
      <c r="I68" s="16">
        <v>1</v>
      </c>
      <c r="J68" t="s">
        <v>1316</v>
      </c>
      <c r="K68" t="s">
        <v>1317</v>
      </c>
      <c r="L68" s="1" t="s">
        <v>639</v>
      </c>
      <c r="M68" t="s">
        <v>1318</v>
      </c>
      <c r="N68" s="10">
        <v>9</v>
      </c>
      <c r="O68" s="1" t="s">
        <v>260</v>
      </c>
      <c r="P68" s="1" t="s">
        <v>261</v>
      </c>
      <c r="Q68" s="1" t="s">
        <v>345</v>
      </c>
      <c r="R68" s="1" t="s">
        <v>1727</v>
      </c>
      <c r="S68" s="1" t="s">
        <v>325</v>
      </c>
      <c r="T68" s="1" t="s">
        <v>264</v>
      </c>
      <c r="U68" s="1" t="s">
        <v>346</v>
      </c>
      <c r="V68" s="1" t="s">
        <v>266</v>
      </c>
      <c r="W68" t="s">
        <v>267</v>
      </c>
      <c r="X68" s="10">
        <v>2.71</v>
      </c>
      <c r="Y68" s="10">
        <v>2.21</v>
      </c>
      <c r="Z68" s="10">
        <v>2.01</v>
      </c>
      <c r="AA68" s="10">
        <v>435</v>
      </c>
      <c r="AB68" s="1">
        <v>1999</v>
      </c>
      <c r="AC68" s="1">
        <v>1999</v>
      </c>
      <c r="AD68" s="1">
        <v>1999</v>
      </c>
      <c r="AE68" s="1">
        <v>13.3</v>
      </c>
      <c r="AF68" s="1" t="s">
        <v>269</v>
      </c>
      <c r="AG68" s="1" t="s">
        <v>270</v>
      </c>
      <c r="AH68" t="s">
        <v>1319</v>
      </c>
      <c r="AI68" s="1" t="s">
        <v>272</v>
      </c>
      <c r="AJ68" t="s">
        <v>1320</v>
      </c>
      <c r="AK68" s="1" t="s">
        <v>274</v>
      </c>
      <c r="AL68" s="1" t="s">
        <v>1321</v>
      </c>
      <c r="AM68" t="s">
        <v>375</v>
      </c>
      <c r="AN68" s="10" t="s">
        <v>350</v>
      </c>
      <c r="AO68" s="17">
        <v>1</v>
      </c>
      <c r="AP68" s="17">
        <v>1</v>
      </c>
      <c r="AQ68" s="17">
        <v>3</v>
      </c>
      <c r="AR68" s="17">
        <v>1</v>
      </c>
      <c r="AS68" s="17">
        <v>3</v>
      </c>
      <c r="AT68" s="17">
        <v>427</v>
      </c>
      <c r="AU68" s="17">
        <v>427</v>
      </c>
      <c r="AV68" s="17">
        <v>427</v>
      </c>
      <c r="AW68" t="s">
        <v>798</v>
      </c>
      <c r="AX68" t="s">
        <v>1322</v>
      </c>
      <c r="AY68" s="1" t="s">
        <v>352</v>
      </c>
      <c r="AZ68" t="s">
        <v>1323</v>
      </c>
      <c r="BA68" t="s">
        <v>284</v>
      </c>
      <c r="BB68" t="s">
        <v>277</v>
      </c>
      <c r="BC68" s="2" t="s">
        <v>284</v>
      </c>
      <c r="BD68" t="s">
        <v>277</v>
      </c>
      <c r="BE68" s="1" t="s">
        <v>284</v>
      </c>
      <c r="BF68" t="s">
        <v>277</v>
      </c>
      <c r="BG68" s="1" t="s">
        <v>284</v>
      </c>
      <c r="BH68" t="s">
        <v>277</v>
      </c>
      <c r="BI68" t="s">
        <v>954</v>
      </c>
      <c r="BJ68" s="2" t="s">
        <v>1324</v>
      </c>
      <c r="BK68" t="s">
        <v>382</v>
      </c>
      <c r="BL68" s="2" t="s">
        <v>1325</v>
      </c>
      <c r="BM68" t="s">
        <v>1326</v>
      </c>
      <c r="BN68" t="s">
        <v>1327</v>
      </c>
      <c r="BO68" s="2" t="s">
        <v>572</v>
      </c>
      <c r="BP68" s="2" t="s">
        <v>1328</v>
      </c>
      <c r="BQ68" s="2" t="s">
        <v>362</v>
      </c>
      <c r="BR68" s="2" t="s">
        <v>277</v>
      </c>
      <c r="BS68" s="2" t="s">
        <v>362</v>
      </c>
      <c r="BT68" s="2" t="s">
        <v>277</v>
      </c>
      <c r="BU68" s="2" t="s">
        <v>284</v>
      </c>
      <c r="BV68" s="2" t="s">
        <v>277</v>
      </c>
      <c r="BW68" s="1" t="s">
        <v>284</v>
      </c>
      <c r="BX68" s="2" t="s">
        <v>277</v>
      </c>
      <c r="BY68" t="s">
        <v>1252</v>
      </c>
      <c r="BZ68" s="1" t="s">
        <v>1329</v>
      </c>
      <c r="CA68" s="2" t="s">
        <v>277</v>
      </c>
      <c r="CB68" s="1" t="s">
        <v>1330</v>
      </c>
      <c r="CC68" s="1" t="s">
        <v>1331</v>
      </c>
      <c r="CD68" s="49">
        <v>65</v>
      </c>
      <c r="CE68" s="49">
        <v>30</v>
      </c>
      <c r="CF68" s="48">
        <f t="shared" si="2"/>
        <v>0.3157894736842105</v>
      </c>
      <c r="CG68" s="48">
        <f>IF(Data!$CB68="NA",".",Data!$CF68-(1-Data!$CF68))</f>
        <v>-0.368421052631579</v>
      </c>
      <c r="CH68" s="1" t="s">
        <v>277</v>
      </c>
      <c r="CI68" s="17">
        <v>0</v>
      </c>
      <c r="CJ68" s="17">
        <v>1</v>
      </c>
      <c r="CK68" s="17">
        <v>0</v>
      </c>
      <c r="CL68" s="10" t="s">
        <v>303</v>
      </c>
      <c r="CM68" s="10" t="s">
        <v>298</v>
      </c>
      <c r="CN68" s="10" t="s">
        <v>299</v>
      </c>
      <c r="CO68" s="10" t="s">
        <v>299</v>
      </c>
      <c r="CP68" s="10" t="s">
        <v>299</v>
      </c>
      <c r="CQ68" s="10" t="s">
        <v>299</v>
      </c>
      <c r="CR68" s="10" t="s">
        <v>299</v>
      </c>
      <c r="CS68" s="10" t="s">
        <v>298</v>
      </c>
      <c r="CT68" s="10" t="s">
        <v>366</v>
      </c>
      <c r="CU68" s="10" t="s">
        <v>298</v>
      </c>
      <c r="CV68" s="10" t="s">
        <v>298</v>
      </c>
      <c r="CW68" s="10" t="s">
        <v>299</v>
      </c>
      <c r="CX68" s="10" t="s">
        <v>299</v>
      </c>
      <c r="CY68" s="10" t="s">
        <v>298</v>
      </c>
      <c r="CZ68" s="10" t="s">
        <v>300</v>
      </c>
      <c r="DA68" s="10" t="s">
        <v>298</v>
      </c>
      <c r="DB68" s="10" t="s">
        <v>298</v>
      </c>
      <c r="DC68" s="10" t="s">
        <v>298</v>
      </c>
      <c r="DD68" s="10" t="s">
        <v>298</v>
      </c>
      <c r="DE68" s="10" t="s">
        <v>298</v>
      </c>
      <c r="DF68" s="10" t="s">
        <v>298</v>
      </c>
      <c r="DG68" s="10" t="s">
        <v>298</v>
      </c>
      <c r="DH68" s="10" t="s">
        <v>298</v>
      </c>
      <c r="DI68" s="10" t="s">
        <v>298</v>
      </c>
      <c r="DJ68" s="1" t="s">
        <v>277</v>
      </c>
      <c r="DK68" s="1" t="s">
        <v>277</v>
      </c>
      <c r="DL68" s="1" t="s">
        <v>278</v>
      </c>
      <c r="DM68" s="1" t="s">
        <v>278</v>
      </c>
      <c r="DN68" s="48" t="s">
        <v>278</v>
      </c>
      <c r="DO68" s="48" t="s">
        <v>278</v>
      </c>
      <c r="DP68" s="1" t="s">
        <v>277</v>
      </c>
      <c r="DQ68" s="17" t="s">
        <v>278</v>
      </c>
      <c r="DR68" s="17" t="s">
        <v>278</v>
      </c>
      <c r="DS68" s="17" t="s">
        <v>278</v>
      </c>
      <c r="DT68" s="1" t="s">
        <v>277</v>
      </c>
      <c r="DU68" s="1" t="s">
        <v>277</v>
      </c>
      <c r="DV68" s="1" t="s">
        <v>277</v>
      </c>
      <c r="DW68" s="1" t="s">
        <v>277</v>
      </c>
      <c r="DX68" s="1" t="s">
        <v>277</v>
      </c>
      <c r="DY68" s="1" t="s">
        <v>277</v>
      </c>
      <c r="DZ68" s="1" t="s">
        <v>277</v>
      </c>
      <c r="EA68" s="1" t="s">
        <v>277</v>
      </c>
      <c r="EB68" s="1" t="s">
        <v>277</v>
      </c>
      <c r="EC68" s="1" t="s">
        <v>277</v>
      </c>
      <c r="ED68" s="1" t="s">
        <v>277</v>
      </c>
      <c r="EE68" s="1" t="s">
        <v>277</v>
      </c>
      <c r="EF68" s="1" t="s">
        <v>277</v>
      </c>
      <c r="EG68" s="1" t="s">
        <v>277</v>
      </c>
      <c r="EH68" s="1" t="s">
        <v>277</v>
      </c>
      <c r="EI68" s="1" t="s">
        <v>277</v>
      </c>
      <c r="EJ68" s="1" t="s">
        <v>277</v>
      </c>
      <c r="EK68" s="1" t="s">
        <v>277</v>
      </c>
      <c r="EL68" s="1" t="s">
        <v>277</v>
      </c>
      <c r="EM68" s="1" t="s">
        <v>277</v>
      </c>
      <c r="EN68" s="1" t="s">
        <v>277</v>
      </c>
      <c r="EO68" s="1" t="s">
        <v>277</v>
      </c>
      <c r="EP68" s="1" t="s">
        <v>277</v>
      </c>
      <c r="EQ68" s="1" t="s">
        <v>277</v>
      </c>
    </row>
    <row r="69" spans="1:147" ht="15" customHeight="1">
      <c r="A69" s="30" t="s">
        <v>1130</v>
      </c>
      <c r="B69" s="1">
        <v>66</v>
      </c>
      <c r="C69" s="1">
        <v>54</v>
      </c>
      <c r="D69" s="10">
        <v>2012</v>
      </c>
      <c r="E69" t="s">
        <v>1332</v>
      </c>
      <c r="F69" t="s">
        <v>1333</v>
      </c>
      <c r="G69" s="16">
        <v>2</v>
      </c>
      <c r="H69" s="16">
        <v>3</v>
      </c>
      <c r="I69" s="16">
        <v>1</v>
      </c>
      <c r="J69" t="s">
        <v>1334</v>
      </c>
      <c r="K69" t="s">
        <v>1335</v>
      </c>
      <c r="L69" s="1" t="s">
        <v>639</v>
      </c>
      <c r="M69" t="s">
        <v>1336</v>
      </c>
      <c r="N69" s="10">
        <v>5</v>
      </c>
      <c r="O69" t="s">
        <v>260</v>
      </c>
      <c r="P69" s="1" t="s">
        <v>261</v>
      </c>
      <c r="Q69" t="s">
        <v>516</v>
      </c>
      <c r="R69" t="s">
        <v>1728</v>
      </c>
      <c r="S69" s="1" t="s">
        <v>325</v>
      </c>
      <c r="T69" s="1" t="s">
        <v>517</v>
      </c>
      <c r="U69" s="1" t="s">
        <v>265</v>
      </c>
      <c r="V69" s="1" t="s">
        <v>518</v>
      </c>
      <c r="W69" t="s">
        <v>267</v>
      </c>
      <c r="X69" s="10">
        <v>4.01</v>
      </c>
      <c r="Y69" s="10">
        <v>2.09</v>
      </c>
      <c r="Z69" s="10">
        <v>1.94</v>
      </c>
      <c r="AA69" s="10">
        <v>435</v>
      </c>
      <c r="AB69" s="10">
        <v>2008</v>
      </c>
      <c r="AC69" s="10">
        <v>2008</v>
      </c>
      <c r="AD69" s="10">
        <v>2008</v>
      </c>
      <c r="AE69" s="10">
        <v>17</v>
      </c>
      <c r="AF69" s="1" t="s">
        <v>269</v>
      </c>
      <c r="AG69" s="1" t="s">
        <v>270</v>
      </c>
      <c r="AH69" t="s">
        <v>271</v>
      </c>
      <c r="AI69" s="1" t="s">
        <v>272</v>
      </c>
      <c r="AJ69" s="1" t="s">
        <v>1337</v>
      </c>
      <c r="AK69" s="1" t="s">
        <v>274</v>
      </c>
      <c r="AL69" s="1" t="s">
        <v>1321</v>
      </c>
      <c r="AM69" t="s">
        <v>375</v>
      </c>
      <c r="AN69" s="10" t="s">
        <v>277</v>
      </c>
      <c r="AO69" s="17">
        <v>1</v>
      </c>
      <c r="AP69" s="17">
        <v>6</v>
      </c>
      <c r="AQ69" s="17">
        <v>12</v>
      </c>
      <c r="AR69" s="17">
        <v>6</v>
      </c>
      <c r="AS69" s="17">
        <v>6</v>
      </c>
      <c r="AT69" s="17">
        <v>91</v>
      </c>
      <c r="AU69" s="17">
        <v>91</v>
      </c>
      <c r="AV69" s="17">
        <v>49</v>
      </c>
      <c r="AW69" t="s">
        <v>1338</v>
      </c>
      <c r="AX69" t="s">
        <v>1339</v>
      </c>
      <c r="AY69" s="1" t="s">
        <v>282</v>
      </c>
      <c r="AZ69" t="s">
        <v>1340</v>
      </c>
      <c r="BA69" t="s">
        <v>284</v>
      </c>
      <c r="BB69" t="s">
        <v>277</v>
      </c>
      <c r="BC69" s="2" t="s">
        <v>284</v>
      </c>
      <c r="BD69" t="s">
        <v>277</v>
      </c>
      <c r="BE69" s="3" t="s">
        <v>284</v>
      </c>
      <c r="BF69" t="s">
        <v>277</v>
      </c>
      <c r="BG69" t="s">
        <v>284</v>
      </c>
      <c r="BH69" t="s">
        <v>277</v>
      </c>
      <c r="BI69" s="2" t="s">
        <v>284</v>
      </c>
      <c r="BJ69" t="s">
        <v>277</v>
      </c>
      <c r="BK69" t="s">
        <v>284</v>
      </c>
      <c r="BL69" t="s">
        <v>277</v>
      </c>
      <c r="BM69" s="2" t="s">
        <v>289</v>
      </c>
      <c r="BN69" t="s">
        <v>1341</v>
      </c>
      <c r="BO69" s="2" t="s">
        <v>284</v>
      </c>
      <c r="BP69" s="2" t="s">
        <v>277</v>
      </c>
      <c r="BQ69" s="2" t="s">
        <v>362</v>
      </c>
      <c r="BR69" s="47" t="s">
        <v>1342</v>
      </c>
      <c r="BS69" s="2" t="s">
        <v>362</v>
      </c>
      <c r="BT69" s="2" t="s">
        <v>277</v>
      </c>
      <c r="BU69" s="2" t="s">
        <v>284</v>
      </c>
      <c r="BV69" s="2" t="s">
        <v>277</v>
      </c>
      <c r="BW69" s="1" t="s">
        <v>284</v>
      </c>
      <c r="BX69" s="2" t="s">
        <v>277</v>
      </c>
      <c r="BY69" s="2" t="s">
        <v>284</v>
      </c>
      <c r="BZ69" s="2" t="s">
        <v>277</v>
      </c>
      <c r="CA69" t="s">
        <v>1343</v>
      </c>
      <c r="CB69" s="1" t="s">
        <v>1330</v>
      </c>
      <c r="CC69" t="s">
        <v>1344</v>
      </c>
      <c r="CD69" s="49">
        <v>57.14</v>
      </c>
      <c r="CE69" s="49">
        <v>42.86</v>
      </c>
      <c r="CF69" s="48">
        <f t="shared" si="2"/>
        <v>0.4286</v>
      </c>
      <c r="CG69" s="48">
        <f>IF(Data!$CB69="NA",".",Data!$CF69-(1-Data!$CF69))</f>
        <v>-0.14280000000000004</v>
      </c>
      <c r="CH69" s="1" t="s">
        <v>277</v>
      </c>
      <c r="CI69" s="17">
        <v>0</v>
      </c>
      <c r="CJ69" s="17">
        <v>0</v>
      </c>
      <c r="CK69" s="17">
        <v>0</v>
      </c>
      <c r="CL69" s="10" t="s">
        <v>303</v>
      </c>
      <c r="CM69" s="10" t="s">
        <v>298</v>
      </c>
      <c r="CN69" s="10" t="s">
        <v>299</v>
      </c>
      <c r="CO69" s="10" t="s">
        <v>299</v>
      </c>
      <c r="CP69" s="10" t="s">
        <v>299</v>
      </c>
      <c r="CQ69" s="10" t="s">
        <v>298</v>
      </c>
      <c r="CR69" s="10" t="s">
        <v>298</v>
      </c>
      <c r="CS69" s="10" t="s">
        <v>298</v>
      </c>
      <c r="CT69" s="10" t="s">
        <v>298</v>
      </c>
      <c r="CU69" s="10" t="s">
        <v>298</v>
      </c>
      <c r="CV69" s="10" t="s">
        <v>298</v>
      </c>
      <c r="CW69" s="10" t="s">
        <v>298</v>
      </c>
      <c r="CX69" s="10" t="s">
        <v>298</v>
      </c>
      <c r="CY69" s="10" t="s">
        <v>298</v>
      </c>
      <c r="CZ69" s="10" t="s">
        <v>300</v>
      </c>
      <c r="DA69" s="10" t="s">
        <v>298</v>
      </c>
      <c r="DB69" s="10" t="s">
        <v>298</v>
      </c>
      <c r="DC69" s="10" t="s">
        <v>298</v>
      </c>
      <c r="DD69" s="10" t="s">
        <v>298</v>
      </c>
      <c r="DE69" s="10" t="s">
        <v>299</v>
      </c>
      <c r="DF69" s="10" t="s">
        <v>298</v>
      </c>
      <c r="DG69" s="10" t="s">
        <v>298</v>
      </c>
      <c r="DH69" s="10" t="s">
        <v>298</v>
      </c>
      <c r="DI69" s="10" t="s">
        <v>298</v>
      </c>
      <c r="DJ69" s="1" t="s">
        <v>277</v>
      </c>
      <c r="DK69" s="1" t="s">
        <v>277</v>
      </c>
      <c r="DL69" s="1" t="s">
        <v>278</v>
      </c>
      <c r="DM69" s="1" t="s">
        <v>278</v>
      </c>
      <c r="DN69" s="48" t="s">
        <v>278</v>
      </c>
      <c r="DO69" s="48" t="s">
        <v>278</v>
      </c>
      <c r="DP69" s="1" t="s">
        <v>277</v>
      </c>
      <c r="DQ69" s="17" t="s">
        <v>278</v>
      </c>
      <c r="DR69" s="17" t="s">
        <v>278</v>
      </c>
      <c r="DS69" s="17" t="s">
        <v>278</v>
      </c>
      <c r="DT69" s="1" t="s">
        <v>277</v>
      </c>
      <c r="DU69" s="1" t="s">
        <v>277</v>
      </c>
      <c r="DV69" s="1" t="s">
        <v>277</v>
      </c>
      <c r="DW69" s="1" t="s">
        <v>277</v>
      </c>
      <c r="DX69" s="1" t="s">
        <v>277</v>
      </c>
      <c r="DY69" s="1" t="s">
        <v>277</v>
      </c>
      <c r="DZ69" s="1" t="s">
        <v>277</v>
      </c>
      <c r="EA69" s="1" t="s">
        <v>277</v>
      </c>
      <c r="EB69" s="1" t="s">
        <v>277</v>
      </c>
      <c r="EC69" s="1" t="s">
        <v>277</v>
      </c>
      <c r="ED69" s="1" t="s">
        <v>277</v>
      </c>
      <c r="EE69" s="1" t="s">
        <v>277</v>
      </c>
      <c r="EF69" s="1" t="s">
        <v>277</v>
      </c>
      <c r="EG69" s="1" t="s">
        <v>277</v>
      </c>
      <c r="EH69" s="1" t="s">
        <v>277</v>
      </c>
      <c r="EI69" s="1" t="s">
        <v>277</v>
      </c>
      <c r="EJ69" s="1" t="s">
        <v>277</v>
      </c>
      <c r="EK69" s="1" t="s">
        <v>277</v>
      </c>
      <c r="EL69" s="1" t="s">
        <v>277</v>
      </c>
      <c r="EM69" s="1" t="s">
        <v>277</v>
      </c>
      <c r="EN69" s="1" t="s">
        <v>277</v>
      </c>
      <c r="EO69" s="1" t="s">
        <v>277</v>
      </c>
      <c r="EP69" s="1" t="s">
        <v>277</v>
      </c>
      <c r="EQ69" s="1" t="s">
        <v>277</v>
      </c>
    </row>
    <row r="70" spans="1:147" ht="15" customHeight="1">
      <c r="A70" s="30" t="s">
        <v>1130</v>
      </c>
      <c r="B70" s="1">
        <v>67</v>
      </c>
      <c r="C70" s="1">
        <v>54</v>
      </c>
      <c r="D70" s="10">
        <v>2012</v>
      </c>
      <c r="E70" t="s">
        <v>1332</v>
      </c>
      <c r="F70" t="s">
        <v>1333</v>
      </c>
      <c r="G70" s="16">
        <v>2</v>
      </c>
      <c r="H70" s="16">
        <v>3</v>
      </c>
      <c r="I70" s="16">
        <v>1</v>
      </c>
      <c r="J70" t="s">
        <v>1334</v>
      </c>
      <c r="K70" t="s">
        <v>1335</v>
      </c>
      <c r="L70" s="1" t="s">
        <v>639</v>
      </c>
      <c r="M70" t="s">
        <v>1336</v>
      </c>
      <c r="N70" s="10">
        <v>5</v>
      </c>
      <c r="O70" t="s">
        <v>260</v>
      </c>
      <c r="P70" s="1" t="s">
        <v>261</v>
      </c>
      <c r="Q70" t="s">
        <v>324</v>
      </c>
      <c r="R70" t="s">
        <v>324</v>
      </c>
      <c r="S70" s="1" t="s">
        <v>325</v>
      </c>
      <c r="T70" s="1" t="s">
        <v>326</v>
      </c>
      <c r="U70" s="1" t="s">
        <v>265</v>
      </c>
      <c r="V70" s="1" t="s">
        <v>266</v>
      </c>
      <c r="W70" t="s">
        <v>267</v>
      </c>
      <c r="X70" s="10">
        <v>4.01</v>
      </c>
      <c r="Y70" s="10">
        <v>2.09</v>
      </c>
      <c r="Z70" s="10">
        <v>1.94</v>
      </c>
      <c r="AA70" s="10">
        <v>435</v>
      </c>
      <c r="AB70" s="10">
        <v>2008</v>
      </c>
      <c r="AC70" s="10">
        <v>2008</v>
      </c>
      <c r="AD70" s="10">
        <v>2008</v>
      </c>
      <c r="AE70" s="10">
        <v>17</v>
      </c>
      <c r="AF70" s="1" t="s">
        <v>269</v>
      </c>
      <c r="AG70" s="1" t="s">
        <v>270</v>
      </c>
      <c r="AH70" t="s">
        <v>271</v>
      </c>
      <c r="AI70" s="1" t="s">
        <v>272</v>
      </c>
      <c r="AJ70" s="1" t="s">
        <v>1345</v>
      </c>
      <c r="AK70" s="1" t="s">
        <v>274</v>
      </c>
      <c r="AL70" s="1" t="s">
        <v>1321</v>
      </c>
      <c r="AM70" t="s">
        <v>375</v>
      </c>
      <c r="AN70" s="10" t="s">
        <v>277</v>
      </c>
      <c r="AO70" s="17">
        <v>1</v>
      </c>
      <c r="AP70" s="17">
        <v>4</v>
      </c>
      <c r="AQ70" s="17">
        <v>8</v>
      </c>
      <c r="AR70" s="17">
        <v>4</v>
      </c>
      <c r="AS70" s="17">
        <v>4</v>
      </c>
      <c r="AT70" s="17">
        <v>112</v>
      </c>
      <c r="AU70" s="17">
        <v>112</v>
      </c>
      <c r="AV70" s="17">
        <v>64</v>
      </c>
      <c r="AW70" t="s">
        <v>1338</v>
      </c>
      <c r="AX70" t="s">
        <v>1339</v>
      </c>
      <c r="AY70" s="21" t="s">
        <v>282</v>
      </c>
      <c r="AZ70" s="20" t="s">
        <v>1346</v>
      </c>
      <c r="BA70" t="s">
        <v>284</v>
      </c>
      <c r="BB70" t="s">
        <v>277</v>
      </c>
      <c r="BC70" s="2" t="s">
        <v>284</v>
      </c>
      <c r="BD70" t="s">
        <v>277</v>
      </c>
      <c r="BE70" s="3" t="s">
        <v>284</v>
      </c>
      <c r="BF70" t="s">
        <v>277</v>
      </c>
      <c r="BG70" s="1" t="s">
        <v>284</v>
      </c>
      <c r="BH70" t="s">
        <v>277</v>
      </c>
      <c r="BI70" s="2" t="s">
        <v>284</v>
      </c>
      <c r="BJ70" t="s">
        <v>277</v>
      </c>
      <c r="BK70" t="s">
        <v>284</v>
      </c>
      <c r="BL70" t="s">
        <v>277</v>
      </c>
      <c r="BM70" s="2" t="s">
        <v>289</v>
      </c>
      <c r="BN70" t="s">
        <v>1347</v>
      </c>
      <c r="BO70" s="2" t="s">
        <v>284</v>
      </c>
      <c r="BP70" s="2" t="s">
        <v>277</v>
      </c>
      <c r="BQ70" s="2" t="s">
        <v>470</v>
      </c>
      <c r="BR70" t="s">
        <v>1348</v>
      </c>
      <c r="BS70" s="2" t="s">
        <v>362</v>
      </c>
      <c r="BT70" s="2" t="s">
        <v>277</v>
      </c>
      <c r="BU70" s="2" t="s">
        <v>284</v>
      </c>
      <c r="BV70" s="2" t="s">
        <v>277</v>
      </c>
      <c r="BW70" s="1" t="s">
        <v>284</v>
      </c>
      <c r="BX70" s="2" t="s">
        <v>277</v>
      </c>
      <c r="BY70" s="2" t="s">
        <v>284</v>
      </c>
      <c r="BZ70" s="2" t="s">
        <v>277</v>
      </c>
      <c r="CA70" t="s">
        <v>1343</v>
      </c>
      <c r="CB70" s="1" t="s">
        <v>1330</v>
      </c>
      <c r="CC70" t="s">
        <v>1349</v>
      </c>
      <c r="CD70" s="49">
        <v>67.19</v>
      </c>
      <c r="CE70" s="49">
        <v>32.81</v>
      </c>
      <c r="CF70" s="48">
        <f t="shared" si="2"/>
        <v>0.3281</v>
      </c>
      <c r="CG70" s="48">
        <f>IF(Data!$CB70="NA",".",Data!$CF70-(1-Data!$CF70))</f>
        <v>-0.34379999999999994</v>
      </c>
      <c r="CH70" s="1" t="s">
        <v>277</v>
      </c>
      <c r="CI70" s="17">
        <v>0</v>
      </c>
      <c r="CJ70" s="17">
        <v>0</v>
      </c>
      <c r="CK70" s="17">
        <v>0</v>
      </c>
      <c r="CL70" s="10" t="s">
        <v>303</v>
      </c>
      <c r="CM70" s="10" t="s">
        <v>298</v>
      </c>
      <c r="CN70" s="10" t="s">
        <v>299</v>
      </c>
      <c r="CO70" s="10" t="s">
        <v>299</v>
      </c>
      <c r="CP70" s="10" t="s">
        <v>299</v>
      </c>
      <c r="CQ70" s="10" t="s">
        <v>298</v>
      </c>
      <c r="CR70" s="10" t="s">
        <v>298</v>
      </c>
      <c r="CS70" s="10" t="s">
        <v>298</v>
      </c>
      <c r="CT70" s="10" t="s">
        <v>298</v>
      </c>
      <c r="CU70" s="10" t="s">
        <v>298</v>
      </c>
      <c r="CV70" s="10" t="s">
        <v>298</v>
      </c>
      <c r="CW70" s="10" t="s">
        <v>298</v>
      </c>
      <c r="CX70" s="10" t="s">
        <v>298</v>
      </c>
      <c r="CY70" s="10" t="s">
        <v>298</v>
      </c>
      <c r="CZ70" s="10" t="s">
        <v>300</v>
      </c>
      <c r="DA70" s="10" t="s">
        <v>298</v>
      </c>
      <c r="DB70" s="10" t="s">
        <v>298</v>
      </c>
      <c r="DC70" s="10" t="s">
        <v>298</v>
      </c>
      <c r="DD70" s="10" t="s">
        <v>298</v>
      </c>
      <c r="DE70" s="10" t="s">
        <v>299</v>
      </c>
      <c r="DF70" s="10" t="s">
        <v>298</v>
      </c>
      <c r="DG70" s="10" t="s">
        <v>298</v>
      </c>
      <c r="DH70" s="10" t="s">
        <v>298</v>
      </c>
      <c r="DI70" s="10" t="s">
        <v>298</v>
      </c>
      <c r="DJ70" s="1" t="s">
        <v>277</v>
      </c>
      <c r="DK70" s="1" t="s">
        <v>277</v>
      </c>
      <c r="DL70" s="1" t="s">
        <v>278</v>
      </c>
      <c r="DM70" s="1" t="s">
        <v>278</v>
      </c>
      <c r="DN70" s="48" t="s">
        <v>278</v>
      </c>
      <c r="DO70" s="48" t="s">
        <v>278</v>
      </c>
      <c r="DP70" s="1" t="s">
        <v>277</v>
      </c>
      <c r="DQ70" s="17" t="s">
        <v>278</v>
      </c>
      <c r="DR70" s="17" t="s">
        <v>278</v>
      </c>
      <c r="DS70" s="17" t="s">
        <v>278</v>
      </c>
      <c r="DT70" s="1" t="s">
        <v>277</v>
      </c>
      <c r="DU70" s="1" t="s">
        <v>277</v>
      </c>
      <c r="DV70" s="1" t="s">
        <v>277</v>
      </c>
      <c r="DW70" s="1" t="s">
        <v>277</v>
      </c>
      <c r="DX70" s="1" t="s">
        <v>277</v>
      </c>
      <c r="DY70" s="1" t="s">
        <v>277</v>
      </c>
      <c r="DZ70" s="1" t="s">
        <v>277</v>
      </c>
      <c r="EA70" s="1" t="s">
        <v>277</v>
      </c>
      <c r="EB70" s="1" t="s">
        <v>277</v>
      </c>
      <c r="EC70" s="1" t="s">
        <v>277</v>
      </c>
      <c r="ED70" s="1" t="s">
        <v>277</v>
      </c>
      <c r="EE70" s="1" t="s">
        <v>277</v>
      </c>
      <c r="EF70" s="1" t="s">
        <v>277</v>
      </c>
      <c r="EG70" s="1" t="s">
        <v>277</v>
      </c>
      <c r="EH70" s="1" t="s">
        <v>277</v>
      </c>
      <c r="EI70" s="1" t="s">
        <v>277</v>
      </c>
      <c r="EJ70" s="1" t="s">
        <v>277</v>
      </c>
      <c r="EK70" s="1" t="s">
        <v>277</v>
      </c>
      <c r="EL70" s="1" t="s">
        <v>277</v>
      </c>
      <c r="EM70" s="1" t="s">
        <v>277</v>
      </c>
      <c r="EN70" s="1" t="s">
        <v>277</v>
      </c>
      <c r="EO70" s="1" t="s">
        <v>277</v>
      </c>
      <c r="EP70" s="1" t="s">
        <v>277</v>
      </c>
      <c r="EQ70" s="1" t="s">
        <v>277</v>
      </c>
    </row>
    <row r="71" spans="1:147" ht="15" customHeight="1">
      <c r="A71" s="30" t="s">
        <v>1130</v>
      </c>
      <c r="B71" s="1">
        <v>68</v>
      </c>
      <c r="C71" s="1">
        <v>55</v>
      </c>
      <c r="D71" s="10">
        <v>2003</v>
      </c>
      <c r="E71" t="s">
        <v>1350</v>
      </c>
      <c r="F71" t="s">
        <v>1350</v>
      </c>
      <c r="G71" s="16">
        <v>2</v>
      </c>
      <c r="H71" s="16">
        <v>2</v>
      </c>
      <c r="I71" s="16">
        <v>1</v>
      </c>
      <c r="J71" t="s">
        <v>1351</v>
      </c>
      <c r="K71" t="s">
        <v>1352</v>
      </c>
      <c r="L71" s="1" t="s">
        <v>639</v>
      </c>
      <c r="M71" s="19" t="s">
        <v>1353</v>
      </c>
      <c r="N71" s="25">
        <v>13</v>
      </c>
      <c r="O71" t="s">
        <v>260</v>
      </c>
      <c r="P71" s="1" t="s">
        <v>261</v>
      </c>
      <c r="Q71" t="s">
        <v>1354</v>
      </c>
      <c r="R71" s="1" t="s">
        <v>1727</v>
      </c>
      <c r="S71" s="1" t="s">
        <v>325</v>
      </c>
      <c r="T71" s="1" t="s">
        <v>264</v>
      </c>
      <c r="U71" s="1" t="s">
        <v>346</v>
      </c>
      <c r="V71" s="1" t="s">
        <v>1355</v>
      </c>
      <c r="W71" t="s">
        <v>267</v>
      </c>
      <c r="X71" s="10">
        <v>9.92</v>
      </c>
      <c r="Y71" s="10">
        <v>1.97</v>
      </c>
      <c r="Z71" s="10">
        <v>1.77</v>
      </c>
      <c r="AA71" s="10">
        <v>435</v>
      </c>
      <c r="AB71" s="10">
        <v>1964</v>
      </c>
      <c r="AC71" s="10">
        <v>1964</v>
      </c>
      <c r="AD71" s="10">
        <v>1964</v>
      </c>
      <c r="AE71" s="10">
        <v>2.3</v>
      </c>
      <c r="AF71" s="1" t="s">
        <v>269</v>
      </c>
      <c r="AG71" s="1" t="s">
        <v>270</v>
      </c>
      <c r="AH71" t="s">
        <v>271</v>
      </c>
      <c r="AI71" s="1" t="s">
        <v>272</v>
      </c>
      <c r="AJ71" t="s">
        <v>1356</v>
      </c>
      <c r="AK71" s="1" t="s">
        <v>274</v>
      </c>
      <c r="AL71" s="1" t="s">
        <v>1321</v>
      </c>
      <c r="AM71" t="s">
        <v>375</v>
      </c>
      <c r="AN71" s="10" t="s">
        <v>1357</v>
      </c>
      <c r="AO71" s="17">
        <v>1</v>
      </c>
      <c r="AP71" s="17">
        <v>1</v>
      </c>
      <c r="AQ71" s="17">
        <v>2</v>
      </c>
      <c r="AR71" s="17">
        <v>1</v>
      </c>
      <c r="AS71" s="17">
        <v>3</v>
      </c>
      <c r="AT71" s="17" t="s">
        <v>278</v>
      </c>
      <c r="AU71" s="17" t="s">
        <v>278</v>
      </c>
      <c r="AV71" s="17" t="s">
        <v>278</v>
      </c>
      <c r="AW71" t="s">
        <v>278</v>
      </c>
      <c r="AX71" t="s">
        <v>1358</v>
      </c>
      <c r="AY71" s="21" t="s">
        <v>282</v>
      </c>
      <c r="AZ71" t="s">
        <v>1359</v>
      </c>
      <c r="BA71" t="s">
        <v>284</v>
      </c>
      <c r="BB71" t="s">
        <v>277</v>
      </c>
      <c r="BC71" s="2" t="s">
        <v>284</v>
      </c>
      <c r="BD71" t="s">
        <v>277</v>
      </c>
      <c r="BE71" t="s">
        <v>356</v>
      </c>
      <c r="BF71" t="s">
        <v>1360</v>
      </c>
      <c r="BG71" s="1" t="s">
        <v>284</v>
      </c>
      <c r="BH71" t="s">
        <v>277</v>
      </c>
      <c r="BI71" s="2" t="s">
        <v>284</v>
      </c>
      <c r="BJ71" t="s">
        <v>277</v>
      </c>
      <c r="BK71" t="s">
        <v>284</v>
      </c>
      <c r="BL71" t="s">
        <v>277</v>
      </c>
      <c r="BM71" t="s">
        <v>284</v>
      </c>
      <c r="BN71" t="s">
        <v>277</v>
      </c>
      <c r="BO71" s="2" t="s">
        <v>572</v>
      </c>
      <c r="BP71" s="2" t="s">
        <v>1361</v>
      </c>
      <c r="BQ71" s="2" t="s">
        <v>362</v>
      </c>
      <c r="BR71" s="2" t="s">
        <v>277</v>
      </c>
      <c r="BS71" s="2" t="s">
        <v>362</v>
      </c>
      <c r="BT71" s="2" t="s">
        <v>277</v>
      </c>
      <c r="BU71" s="2" t="s">
        <v>284</v>
      </c>
      <c r="BV71" s="2" t="s">
        <v>277</v>
      </c>
      <c r="BW71" s="1" t="s">
        <v>284</v>
      </c>
      <c r="BX71" s="2" t="s">
        <v>277</v>
      </c>
      <c r="BY71" s="2" t="s">
        <v>284</v>
      </c>
      <c r="BZ71" s="2" t="s">
        <v>277</v>
      </c>
      <c r="CA71" t="s">
        <v>1362</v>
      </c>
      <c r="CB71" t="s">
        <v>1363</v>
      </c>
      <c r="CC71" t="s">
        <v>1364</v>
      </c>
      <c r="CD71" s="49">
        <v>25</v>
      </c>
      <c r="CE71" s="49">
        <v>7.5</v>
      </c>
      <c r="CF71" s="48">
        <f t="shared" si="2"/>
        <v>0.23076923076923078</v>
      </c>
      <c r="CG71" s="48">
        <f>IF(Data!$CB71="NA",".",Data!$CF71-(1-Data!$CF71))</f>
        <v>-0.5384615384615383</v>
      </c>
      <c r="CH71" s="1" t="s">
        <v>277</v>
      </c>
      <c r="CI71" s="17">
        <v>0</v>
      </c>
      <c r="CJ71" s="17">
        <v>0</v>
      </c>
      <c r="CK71" s="17">
        <v>0</v>
      </c>
      <c r="CL71" s="10" t="s">
        <v>303</v>
      </c>
      <c r="CM71" s="10" t="s">
        <v>298</v>
      </c>
      <c r="CN71" s="10" t="s">
        <v>299</v>
      </c>
      <c r="CO71" s="10" t="s">
        <v>299</v>
      </c>
      <c r="CP71" s="10" t="s">
        <v>299</v>
      </c>
      <c r="CQ71" s="10" t="s">
        <v>299</v>
      </c>
      <c r="CR71" s="10" t="s">
        <v>299</v>
      </c>
      <c r="CS71" s="10" t="s">
        <v>298</v>
      </c>
      <c r="CT71" s="10" t="s">
        <v>538</v>
      </c>
      <c r="CU71" s="10" t="s">
        <v>298</v>
      </c>
      <c r="CV71" s="10" t="s">
        <v>298</v>
      </c>
      <c r="CW71" s="10" t="s">
        <v>299</v>
      </c>
      <c r="CX71" s="10" t="s">
        <v>299</v>
      </c>
      <c r="CY71" s="10" t="s">
        <v>298</v>
      </c>
      <c r="CZ71" s="10" t="s">
        <v>300</v>
      </c>
      <c r="DA71" s="10" t="s">
        <v>298</v>
      </c>
      <c r="DB71" s="10" t="s">
        <v>298</v>
      </c>
      <c r="DC71" s="10" t="s">
        <v>298</v>
      </c>
      <c r="DD71" s="10" t="s">
        <v>298</v>
      </c>
      <c r="DE71" s="10" t="s">
        <v>299</v>
      </c>
      <c r="DF71" s="10" t="s">
        <v>298</v>
      </c>
      <c r="DG71" s="10" t="s">
        <v>298</v>
      </c>
      <c r="DH71" s="10" t="s">
        <v>298</v>
      </c>
      <c r="DI71" s="10" t="s">
        <v>298</v>
      </c>
      <c r="DJ71" s="1" t="s">
        <v>277</v>
      </c>
      <c r="DK71" s="1" t="s">
        <v>277</v>
      </c>
      <c r="DL71" s="1" t="s">
        <v>278</v>
      </c>
      <c r="DM71" s="1" t="s">
        <v>278</v>
      </c>
      <c r="DN71" s="48" t="s">
        <v>278</v>
      </c>
      <c r="DO71" s="48" t="s">
        <v>278</v>
      </c>
      <c r="DP71" s="1" t="s">
        <v>277</v>
      </c>
      <c r="DQ71" s="17" t="s">
        <v>278</v>
      </c>
      <c r="DR71" s="17" t="s">
        <v>278</v>
      </c>
      <c r="DS71" s="17" t="s">
        <v>278</v>
      </c>
      <c r="DT71" s="1" t="s">
        <v>277</v>
      </c>
      <c r="DU71" s="1" t="s">
        <v>277</v>
      </c>
      <c r="DV71" s="1" t="s">
        <v>277</v>
      </c>
      <c r="DW71" s="1" t="s">
        <v>277</v>
      </c>
      <c r="DX71" s="1" t="s">
        <v>277</v>
      </c>
      <c r="DY71" s="1" t="s">
        <v>277</v>
      </c>
      <c r="DZ71" s="1" t="s">
        <v>277</v>
      </c>
      <c r="EA71" s="1" t="s">
        <v>277</v>
      </c>
      <c r="EB71" s="1" t="s">
        <v>277</v>
      </c>
      <c r="EC71" s="1" t="s">
        <v>277</v>
      </c>
      <c r="ED71" s="1" t="s">
        <v>277</v>
      </c>
      <c r="EE71" s="1" t="s">
        <v>277</v>
      </c>
      <c r="EF71" s="1" t="s">
        <v>277</v>
      </c>
      <c r="EG71" s="1" t="s">
        <v>277</v>
      </c>
      <c r="EH71" s="1" t="s">
        <v>277</v>
      </c>
      <c r="EI71" s="1" t="s">
        <v>277</v>
      </c>
      <c r="EJ71" s="1" t="s">
        <v>277</v>
      </c>
      <c r="EK71" s="1" t="s">
        <v>277</v>
      </c>
      <c r="EL71" s="1" t="s">
        <v>277</v>
      </c>
      <c r="EM71" s="1" t="s">
        <v>277</v>
      </c>
      <c r="EN71" s="1" t="s">
        <v>277</v>
      </c>
      <c r="EO71" s="1" t="s">
        <v>277</v>
      </c>
      <c r="EP71" s="1" t="s">
        <v>277</v>
      </c>
      <c r="EQ71" s="1" t="s">
        <v>277</v>
      </c>
    </row>
    <row r="72" spans="1:147" ht="15" customHeight="1">
      <c r="A72" s="30" t="s">
        <v>1130</v>
      </c>
      <c r="B72" s="1">
        <v>69</v>
      </c>
      <c r="C72" s="1">
        <v>56</v>
      </c>
      <c r="D72" s="10">
        <v>2010</v>
      </c>
      <c r="E72" t="s">
        <v>1365</v>
      </c>
      <c r="F72" t="s">
        <v>1365</v>
      </c>
      <c r="G72" s="16">
        <v>2</v>
      </c>
      <c r="H72" s="16">
        <v>2</v>
      </c>
      <c r="I72" s="16">
        <v>1</v>
      </c>
      <c r="J72" t="s">
        <v>1366</v>
      </c>
      <c r="K72" t="s">
        <v>1236</v>
      </c>
      <c r="L72" s="1" t="s">
        <v>1367</v>
      </c>
      <c r="M72" s="19" t="s">
        <v>1368</v>
      </c>
      <c r="N72" s="25">
        <v>159</v>
      </c>
      <c r="O72" t="s">
        <v>260</v>
      </c>
      <c r="P72" s="1" t="s">
        <v>261</v>
      </c>
      <c r="Q72" t="s">
        <v>1354</v>
      </c>
      <c r="R72" s="1" t="s">
        <v>1727</v>
      </c>
      <c r="S72" s="1" t="s">
        <v>325</v>
      </c>
      <c r="T72" s="1" t="s">
        <v>264</v>
      </c>
      <c r="U72" s="1" t="s">
        <v>346</v>
      </c>
      <c r="V72" s="1" t="s">
        <v>1355</v>
      </c>
      <c r="W72" t="s">
        <v>267</v>
      </c>
      <c r="X72" s="10">
        <v>4.01</v>
      </c>
      <c r="Y72" s="10">
        <v>2.09</v>
      </c>
      <c r="Z72" s="10">
        <v>1.94</v>
      </c>
      <c r="AA72" s="10">
        <v>435</v>
      </c>
      <c r="AB72" s="10">
        <v>2008</v>
      </c>
      <c r="AC72" s="10">
        <v>2007</v>
      </c>
      <c r="AD72" s="10">
        <v>2008</v>
      </c>
      <c r="AE72" s="10">
        <v>17.24</v>
      </c>
      <c r="AF72" s="1" t="s">
        <v>269</v>
      </c>
      <c r="AG72" s="1" t="s">
        <v>270</v>
      </c>
      <c r="AH72" t="s">
        <v>1369</v>
      </c>
      <c r="AI72" s="1" t="s">
        <v>437</v>
      </c>
      <c r="AJ72" t="s">
        <v>1370</v>
      </c>
      <c r="AK72" t="s">
        <v>373</v>
      </c>
      <c r="AL72" s="1" t="s">
        <v>1321</v>
      </c>
      <c r="AM72" s="1" t="s">
        <v>375</v>
      </c>
      <c r="AN72" s="10" t="s">
        <v>1004</v>
      </c>
      <c r="AO72" s="17">
        <v>1</v>
      </c>
      <c r="AP72" s="17">
        <v>1</v>
      </c>
      <c r="AQ72" s="17">
        <v>3</v>
      </c>
      <c r="AR72" s="17">
        <v>1</v>
      </c>
      <c r="AS72" s="17">
        <v>6</v>
      </c>
      <c r="AT72" s="17">
        <v>437</v>
      </c>
      <c r="AU72" s="17">
        <v>437</v>
      </c>
      <c r="AV72" s="17">
        <v>437</v>
      </c>
      <c r="AW72" t="s">
        <v>1371</v>
      </c>
      <c r="AX72" t="s">
        <v>1372</v>
      </c>
      <c r="AY72" s="1" t="s">
        <v>330</v>
      </c>
      <c r="AZ72" t="s">
        <v>1373</v>
      </c>
      <c r="BA72" t="s">
        <v>990</v>
      </c>
      <c r="BB72" t="s">
        <v>1374</v>
      </c>
      <c r="BC72" s="2" t="s">
        <v>289</v>
      </c>
      <c r="BD72" t="s">
        <v>1375</v>
      </c>
      <c r="BE72" s="3" t="s">
        <v>287</v>
      </c>
      <c r="BF72" t="s">
        <v>1376</v>
      </c>
      <c r="BG72" s="3" t="s">
        <v>553</v>
      </c>
      <c r="BH72" t="s">
        <v>1377</v>
      </c>
      <c r="BI72" t="s">
        <v>530</v>
      </c>
      <c r="BJ72" t="s">
        <v>1378</v>
      </c>
      <c r="BK72" s="2" t="s">
        <v>289</v>
      </c>
      <c r="BL72" t="s">
        <v>1379</v>
      </c>
      <c r="BM72" t="s">
        <v>284</v>
      </c>
      <c r="BN72" t="s">
        <v>277</v>
      </c>
      <c r="BO72" s="2" t="s">
        <v>289</v>
      </c>
      <c r="BP72" t="s">
        <v>1380</v>
      </c>
      <c r="BQ72" s="2" t="s">
        <v>362</v>
      </c>
      <c r="BR72" s="2" t="s">
        <v>277</v>
      </c>
      <c r="BS72" s="2" t="s">
        <v>362</v>
      </c>
      <c r="BT72" s="2" t="s">
        <v>277</v>
      </c>
      <c r="BU72" s="2" t="s">
        <v>284</v>
      </c>
      <c r="BV72" s="2" t="s">
        <v>277</v>
      </c>
      <c r="BW72" s="1" t="s">
        <v>284</v>
      </c>
      <c r="BX72" s="2" t="s">
        <v>277</v>
      </c>
      <c r="BY72" s="2" t="s">
        <v>388</v>
      </c>
      <c r="BZ72" t="s">
        <v>1381</v>
      </c>
      <c r="CA72" t="s">
        <v>1382</v>
      </c>
      <c r="CB72" t="s">
        <v>1383</v>
      </c>
      <c r="CC72" t="s">
        <v>1384</v>
      </c>
      <c r="CD72" s="49">
        <v>5.43</v>
      </c>
      <c r="CE72" s="49">
        <v>6.88</v>
      </c>
      <c r="CF72" s="48">
        <f t="shared" si="2"/>
        <v>0.5588952071486597</v>
      </c>
      <c r="CG72" s="48">
        <f>IF(Data!$CB72="NA",".",Data!$CF72-(1-Data!$CF72))</f>
        <v>0.1177904142973194</v>
      </c>
      <c r="CH72" s="1" t="s">
        <v>277</v>
      </c>
      <c r="CI72" s="17">
        <v>0</v>
      </c>
      <c r="CJ72" s="17">
        <v>1</v>
      </c>
      <c r="CK72" s="17">
        <v>0</v>
      </c>
      <c r="CL72" s="10" t="s">
        <v>303</v>
      </c>
      <c r="CM72" s="10" t="s">
        <v>298</v>
      </c>
      <c r="CN72" s="10" t="s">
        <v>299</v>
      </c>
      <c r="CO72" s="10" t="s">
        <v>299</v>
      </c>
      <c r="CP72" s="10" t="s">
        <v>299</v>
      </c>
      <c r="CQ72" s="10" t="s">
        <v>299</v>
      </c>
      <c r="CR72" s="10" t="s">
        <v>299</v>
      </c>
      <c r="CS72" s="10" t="s">
        <v>298</v>
      </c>
      <c r="CT72" s="10" t="s">
        <v>366</v>
      </c>
      <c r="CU72" s="10" t="s">
        <v>298</v>
      </c>
      <c r="CV72" s="10" t="s">
        <v>298</v>
      </c>
      <c r="CW72" s="10" t="s">
        <v>299</v>
      </c>
      <c r="CX72" s="10" t="s">
        <v>299</v>
      </c>
      <c r="CY72" s="10" t="s">
        <v>298</v>
      </c>
      <c r="CZ72" s="10" t="s">
        <v>300</v>
      </c>
      <c r="DA72" s="10" t="s">
        <v>298</v>
      </c>
      <c r="DB72" s="10" t="s">
        <v>298</v>
      </c>
      <c r="DC72" s="10" t="s">
        <v>298</v>
      </c>
      <c r="DD72" s="10" t="s">
        <v>298</v>
      </c>
      <c r="DE72" s="10" t="s">
        <v>299</v>
      </c>
      <c r="DF72" s="10" t="s">
        <v>298</v>
      </c>
      <c r="DG72" s="10" t="s">
        <v>299</v>
      </c>
      <c r="DH72" s="10" t="s">
        <v>298</v>
      </c>
      <c r="DI72" s="10" t="s">
        <v>298</v>
      </c>
      <c r="DJ72" s="1" t="s">
        <v>277</v>
      </c>
      <c r="DK72" s="1" t="s">
        <v>277</v>
      </c>
      <c r="DL72" s="1" t="s">
        <v>278</v>
      </c>
      <c r="DM72" s="1" t="s">
        <v>278</v>
      </c>
      <c r="DN72" s="48" t="s">
        <v>278</v>
      </c>
      <c r="DO72" s="48" t="s">
        <v>278</v>
      </c>
      <c r="DP72" s="1" t="s">
        <v>277</v>
      </c>
      <c r="DQ72" s="17" t="s">
        <v>278</v>
      </c>
      <c r="DR72" s="17" t="s">
        <v>278</v>
      </c>
      <c r="DS72" s="17" t="s">
        <v>278</v>
      </c>
      <c r="DT72" s="1" t="s">
        <v>277</v>
      </c>
      <c r="DU72" s="1" t="s">
        <v>277</v>
      </c>
      <c r="DV72" s="1" t="s">
        <v>277</v>
      </c>
      <c r="DW72" s="1" t="s">
        <v>277</v>
      </c>
      <c r="DX72" s="1" t="s">
        <v>277</v>
      </c>
      <c r="DY72" s="1" t="s">
        <v>277</v>
      </c>
      <c r="DZ72" s="1" t="s">
        <v>277</v>
      </c>
      <c r="EA72" s="1" t="s">
        <v>277</v>
      </c>
      <c r="EB72" s="1" t="s">
        <v>277</v>
      </c>
      <c r="EC72" s="1" t="s">
        <v>277</v>
      </c>
      <c r="ED72" s="1" t="s">
        <v>277</v>
      </c>
      <c r="EE72" s="1" t="s">
        <v>277</v>
      </c>
      <c r="EF72" s="1" t="s">
        <v>277</v>
      </c>
      <c r="EG72" s="1" t="s">
        <v>277</v>
      </c>
      <c r="EH72" s="1" t="s">
        <v>277</v>
      </c>
      <c r="EI72" s="1" t="s">
        <v>277</v>
      </c>
      <c r="EJ72" s="1" t="s">
        <v>277</v>
      </c>
      <c r="EK72" s="1" t="s">
        <v>277</v>
      </c>
      <c r="EL72" s="1" t="s">
        <v>277</v>
      </c>
      <c r="EM72" s="1" t="s">
        <v>277</v>
      </c>
      <c r="EN72" s="1" t="s">
        <v>277</v>
      </c>
      <c r="EO72" s="1" t="s">
        <v>277</v>
      </c>
      <c r="EP72" s="1" t="s">
        <v>277</v>
      </c>
      <c r="EQ72" s="1" t="s">
        <v>277</v>
      </c>
    </row>
    <row r="73" spans="1:147" ht="15" customHeight="1">
      <c r="A73" s="30" t="s">
        <v>1130</v>
      </c>
      <c r="B73" s="1">
        <v>70</v>
      </c>
      <c r="C73" s="1">
        <v>57</v>
      </c>
      <c r="D73" s="10">
        <v>2014</v>
      </c>
      <c r="E73" t="s">
        <v>1385</v>
      </c>
      <c r="F73" t="s">
        <v>1385</v>
      </c>
      <c r="G73" s="16">
        <v>2</v>
      </c>
      <c r="H73" s="16">
        <v>2</v>
      </c>
      <c r="I73" s="16">
        <v>1</v>
      </c>
      <c r="J73" t="s">
        <v>1386</v>
      </c>
      <c r="K73" t="s">
        <v>542</v>
      </c>
      <c r="L73" s="1" t="s">
        <v>258</v>
      </c>
      <c r="M73" s="19" t="s">
        <v>1387</v>
      </c>
      <c r="N73" s="25">
        <v>5</v>
      </c>
      <c r="O73" t="s">
        <v>260</v>
      </c>
      <c r="P73" s="1" t="s">
        <v>261</v>
      </c>
      <c r="Q73" t="s">
        <v>1354</v>
      </c>
      <c r="R73" s="1" t="s">
        <v>1727</v>
      </c>
      <c r="S73" s="1" t="s">
        <v>325</v>
      </c>
      <c r="T73" s="1" t="s">
        <v>264</v>
      </c>
      <c r="U73" s="1" t="s">
        <v>346</v>
      </c>
      <c r="V73" s="1" t="s">
        <v>266</v>
      </c>
      <c r="W73" t="s">
        <v>267</v>
      </c>
      <c r="X73" s="10">
        <v>3.14</v>
      </c>
      <c r="Y73" s="10">
        <v>2.15</v>
      </c>
      <c r="Z73" s="10">
        <v>1.97</v>
      </c>
      <c r="AA73" s="10">
        <v>435</v>
      </c>
      <c r="AB73" s="10" t="s">
        <v>1388</v>
      </c>
      <c r="AC73" s="10">
        <v>2011</v>
      </c>
      <c r="AD73" s="10">
        <v>2012</v>
      </c>
      <c r="AE73" s="10">
        <v>17.97</v>
      </c>
      <c r="AF73" s="1" t="s">
        <v>269</v>
      </c>
      <c r="AG73" s="1" t="s">
        <v>270</v>
      </c>
      <c r="AH73" t="s">
        <v>1389</v>
      </c>
      <c r="AI73" s="1" t="s">
        <v>605</v>
      </c>
      <c r="AJ73" t="s">
        <v>277</v>
      </c>
      <c r="AK73" s="1" t="s">
        <v>606</v>
      </c>
      <c r="AL73" s="1" t="s">
        <v>1321</v>
      </c>
      <c r="AM73" t="s">
        <v>375</v>
      </c>
      <c r="AN73" s="10" t="s">
        <v>1390</v>
      </c>
      <c r="AO73" s="17">
        <v>1</v>
      </c>
      <c r="AP73" s="17">
        <v>1</v>
      </c>
      <c r="AQ73" s="17">
        <v>7</v>
      </c>
      <c r="AR73" s="17">
        <v>1</v>
      </c>
      <c r="AS73" s="17">
        <v>6</v>
      </c>
      <c r="AT73" s="17">
        <v>557</v>
      </c>
      <c r="AU73" s="17">
        <v>557</v>
      </c>
      <c r="AV73" s="17">
        <v>557</v>
      </c>
      <c r="AW73" t="s">
        <v>1391</v>
      </c>
      <c r="AX73" t="s">
        <v>1392</v>
      </c>
      <c r="AY73" s="21" t="s">
        <v>282</v>
      </c>
      <c r="AZ73" t="s">
        <v>1393</v>
      </c>
      <c r="BA73" t="s">
        <v>289</v>
      </c>
      <c r="BB73" t="s">
        <v>1394</v>
      </c>
      <c r="BC73" s="2" t="s">
        <v>284</v>
      </c>
      <c r="BD73" t="s">
        <v>277</v>
      </c>
      <c r="BE73" s="3" t="s">
        <v>289</v>
      </c>
      <c r="BF73" t="s">
        <v>1395</v>
      </c>
      <c r="BG73" t="s">
        <v>289</v>
      </c>
      <c r="BH73" t="s">
        <v>1396</v>
      </c>
      <c r="BI73" t="s">
        <v>289</v>
      </c>
      <c r="BJ73" t="s">
        <v>1396</v>
      </c>
      <c r="BK73" t="s">
        <v>284</v>
      </c>
      <c r="BL73" t="s">
        <v>277</v>
      </c>
      <c r="BM73" t="s">
        <v>284</v>
      </c>
      <c r="BN73" t="s">
        <v>277</v>
      </c>
      <c r="BO73" s="2" t="s">
        <v>284</v>
      </c>
      <c r="BP73" t="s">
        <v>1397</v>
      </c>
      <c r="BQ73" s="2" t="s">
        <v>1398</v>
      </c>
      <c r="BR73" t="s">
        <v>1399</v>
      </c>
      <c r="BS73" s="2" t="s">
        <v>362</v>
      </c>
      <c r="BT73" s="2" t="s">
        <v>277</v>
      </c>
      <c r="BU73" s="2" t="s">
        <v>284</v>
      </c>
      <c r="BV73" s="2" t="s">
        <v>277</v>
      </c>
      <c r="BW73" s="1" t="s">
        <v>284</v>
      </c>
      <c r="BX73" s="2" t="s">
        <v>277</v>
      </c>
      <c r="BY73" s="2" t="s">
        <v>783</v>
      </c>
      <c r="BZ73" t="s">
        <v>1400</v>
      </c>
      <c r="CA73" s="2" t="s">
        <v>277</v>
      </c>
      <c r="CB73" t="s">
        <v>1401</v>
      </c>
      <c r="CC73" t="s">
        <v>1402</v>
      </c>
      <c r="CD73" s="66">
        <v>73</v>
      </c>
      <c r="CE73" s="66">
        <v>56</v>
      </c>
      <c r="CF73" s="48">
        <f t="shared" si="2"/>
        <v>0.43410852713178294</v>
      </c>
      <c r="CG73" s="48">
        <f>IF(Data!$CB73="NA",".",Data!$CF73-(1-Data!$CF73))</f>
        <v>-0.13178294573643412</v>
      </c>
      <c r="CH73" s="1" t="s">
        <v>277</v>
      </c>
      <c r="CI73" s="17">
        <v>0</v>
      </c>
      <c r="CJ73" s="17">
        <v>1</v>
      </c>
      <c r="CK73" s="17">
        <v>0</v>
      </c>
      <c r="CL73" s="10" t="s">
        <v>303</v>
      </c>
      <c r="CM73" s="10" t="s">
        <v>298</v>
      </c>
      <c r="CN73" s="10" t="s">
        <v>299</v>
      </c>
      <c r="CO73" s="10" t="s">
        <v>299</v>
      </c>
      <c r="CP73" s="10" t="s">
        <v>299</v>
      </c>
      <c r="CQ73" s="10" t="s">
        <v>299</v>
      </c>
      <c r="CR73" s="10" t="s">
        <v>299</v>
      </c>
      <c r="CS73" s="10" t="s">
        <v>298</v>
      </c>
      <c r="CT73" s="10" t="s">
        <v>366</v>
      </c>
      <c r="CU73" s="10" t="s">
        <v>298</v>
      </c>
      <c r="CV73" s="10" t="s">
        <v>298</v>
      </c>
      <c r="CW73" s="10" t="s">
        <v>299</v>
      </c>
      <c r="CX73" s="10" t="s">
        <v>299</v>
      </c>
      <c r="CY73" s="10" t="s">
        <v>298</v>
      </c>
      <c r="CZ73" s="10" t="s">
        <v>300</v>
      </c>
      <c r="DA73" s="10" t="s">
        <v>298</v>
      </c>
      <c r="DB73" s="10" t="s">
        <v>298</v>
      </c>
      <c r="DC73" s="10" t="s">
        <v>298</v>
      </c>
      <c r="DD73" s="10" t="s">
        <v>298</v>
      </c>
      <c r="DE73" s="10" t="s">
        <v>299</v>
      </c>
      <c r="DF73" s="10" t="s">
        <v>298</v>
      </c>
      <c r="DG73" s="10" t="s">
        <v>298</v>
      </c>
      <c r="DH73" s="10" t="s">
        <v>298</v>
      </c>
      <c r="DI73" s="10" t="s">
        <v>298</v>
      </c>
      <c r="DJ73" s="1" t="s">
        <v>277</v>
      </c>
      <c r="DK73" s="1" t="s">
        <v>277</v>
      </c>
      <c r="DL73" s="1" t="s">
        <v>278</v>
      </c>
      <c r="DM73" s="1" t="s">
        <v>278</v>
      </c>
      <c r="DN73" s="48" t="s">
        <v>278</v>
      </c>
      <c r="DO73" s="48" t="s">
        <v>278</v>
      </c>
      <c r="DP73" s="1" t="s">
        <v>277</v>
      </c>
      <c r="DQ73" s="17" t="s">
        <v>278</v>
      </c>
      <c r="DR73" s="17" t="s">
        <v>278</v>
      </c>
      <c r="DS73" s="17" t="s">
        <v>278</v>
      </c>
      <c r="DT73" s="1" t="s">
        <v>277</v>
      </c>
      <c r="DU73" s="1" t="s">
        <v>277</v>
      </c>
      <c r="DV73" s="1" t="s">
        <v>277</v>
      </c>
      <c r="DW73" s="1" t="s">
        <v>277</v>
      </c>
      <c r="DX73" s="1" t="s">
        <v>277</v>
      </c>
      <c r="DY73" s="1" t="s">
        <v>277</v>
      </c>
      <c r="DZ73" s="1" t="s">
        <v>277</v>
      </c>
      <c r="EA73" s="1" t="s">
        <v>277</v>
      </c>
      <c r="EB73" s="1" t="s">
        <v>277</v>
      </c>
      <c r="EC73" s="1" t="s">
        <v>277</v>
      </c>
      <c r="ED73" s="1" t="s">
        <v>277</v>
      </c>
      <c r="EE73" s="1" t="s">
        <v>277</v>
      </c>
      <c r="EF73" s="1" t="s">
        <v>277</v>
      </c>
      <c r="EG73" s="1" t="s">
        <v>277</v>
      </c>
      <c r="EH73" s="1" t="s">
        <v>277</v>
      </c>
      <c r="EI73" s="1" t="s">
        <v>277</v>
      </c>
      <c r="EJ73" s="1" t="s">
        <v>277</v>
      </c>
      <c r="EK73" s="1" t="s">
        <v>277</v>
      </c>
      <c r="EL73" s="1" t="s">
        <v>277</v>
      </c>
      <c r="EM73" s="1" t="s">
        <v>277</v>
      </c>
      <c r="EN73" s="1" t="s">
        <v>277</v>
      </c>
      <c r="EO73" s="1" t="s">
        <v>277</v>
      </c>
      <c r="EP73" s="1" t="s">
        <v>277</v>
      </c>
      <c r="EQ73" s="1" t="s">
        <v>277</v>
      </c>
    </row>
    <row r="74" spans="1:147" ht="15" customHeight="1">
      <c r="A74" s="30" t="s">
        <v>1130</v>
      </c>
      <c r="B74" s="1">
        <v>71</v>
      </c>
      <c r="C74" s="1">
        <v>58</v>
      </c>
      <c r="D74" s="10">
        <v>2012</v>
      </c>
      <c r="E74" t="s">
        <v>1403</v>
      </c>
      <c r="F74" t="s">
        <v>1403</v>
      </c>
      <c r="G74" s="16">
        <v>1</v>
      </c>
      <c r="H74" s="16">
        <v>1</v>
      </c>
      <c r="I74" s="16">
        <v>1</v>
      </c>
      <c r="J74" t="s">
        <v>1716</v>
      </c>
      <c r="K74" t="s">
        <v>1404</v>
      </c>
      <c r="L74" s="1" t="s">
        <v>258</v>
      </c>
      <c r="M74" t="s">
        <v>1405</v>
      </c>
      <c r="N74" s="10">
        <v>1</v>
      </c>
      <c r="O74" t="s">
        <v>260</v>
      </c>
      <c r="P74" s="1" t="s">
        <v>261</v>
      </c>
      <c r="Q74" t="s">
        <v>1354</v>
      </c>
      <c r="R74" s="1" t="s">
        <v>1727</v>
      </c>
      <c r="S74" s="1" t="s">
        <v>325</v>
      </c>
      <c r="T74" s="1" t="s">
        <v>264</v>
      </c>
      <c r="U74" s="1" t="s">
        <v>346</v>
      </c>
      <c r="V74" s="1" t="s">
        <v>266</v>
      </c>
      <c r="W74" t="s">
        <v>267</v>
      </c>
      <c r="X74" s="10">
        <v>2.27</v>
      </c>
      <c r="Y74" s="10">
        <v>2.04</v>
      </c>
      <c r="Z74" s="10">
        <v>1.98</v>
      </c>
      <c r="AA74" s="10">
        <v>435</v>
      </c>
      <c r="AB74" s="10" t="s">
        <v>1406</v>
      </c>
      <c r="AC74" s="10">
        <v>1872</v>
      </c>
      <c r="AD74" s="10">
        <v>2008</v>
      </c>
      <c r="AE74" s="10" t="s">
        <v>278</v>
      </c>
      <c r="AF74" s="1" t="s">
        <v>269</v>
      </c>
      <c r="AG74" s="1" t="s">
        <v>270</v>
      </c>
      <c r="AH74" t="s">
        <v>798</v>
      </c>
      <c r="AI74" s="1" t="s">
        <v>272</v>
      </c>
      <c r="AJ74" t="s">
        <v>1407</v>
      </c>
      <c r="AK74" s="1" t="s">
        <v>274</v>
      </c>
      <c r="AL74" s="1" t="s">
        <v>1321</v>
      </c>
      <c r="AM74" t="s">
        <v>375</v>
      </c>
      <c r="AN74" s="10" t="s">
        <v>277</v>
      </c>
      <c r="AO74" s="17">
        <v>1</v>
      </c>
      <c r="AP74" s="17">
        <v>9</v>
      </c>
      <c r="AQ74" s="17">
        <v>18</v>
      </c>
      <c r="AR74" s="17">
        <v>9</v>
      </c>
      <c r="AS74" s="17" t="s">
        <v>278</v>
      </c>
      <c r="AT74" s="17" t="s">
        <v>278</v>
      </c>
      <c r="AU74" s="17" t="s">
        <v>278</v>
      </c>
      <c r="AV74" s="17" t="s">
        <v>278</v>
      </c>
      <c r="AW74" t="s">
        <v>1408</v>
      </c>
      <c r="AX74" t="s">
        <v>1408</v>
      </c>
      <c r="AY74" s="21" t="s">
        <v>282</v>
      </c>
      <c r="AZ74" s="22" t="s">
        <v>1409</v>
      </c>
      <c r="BA74" t="s">
        <v>284</v>
      </c>
      <c r="BB74" t="s">
        <v>277</v>
      </c>
      <c r="BC74" s="2" t="s">
        <v>284</v>
      </c>
      <c r="BD74" t="s">
        <v>277</v>
      </c>
      <c r="BE74" s="3" t="s">
        <v>356</v>
      </c>
      <c r="BF74" t="s">
        <v>1410</v>
      </c>
      <c r="BG74" s="1" t="s">
        <v>284</v>
      </c>
      <c r="BH74" t="s">
        <v>277</v>
      </c>
      <c r="BI74" s="2" t="s">
        <v>380</v>
      </c>
      <c r="BJ74" t="s">
        <v>1411</v>
      </c>
      <c r="BK74" t="s">
        <v>284</v>
      </c>
      <c r="BL74" t="s">
        <v>277</v>
      </c>
      <c r="BM74" t="s">
        <v>284</v>
      </c>
      <c r="BN74" t="s">
        <v>277</v>
      </c>
      <c r="BO74" s="2" t="s">
        <v>572</v>
      </c>
      <c r="BP74" s="22" t="s">
        <v>1412</v>
      </c>
      <c r="BQ74" s="2" t="s">
        <v>362</v>
      </c>
      <c r="BR74" t="s">
        <v>277</v>
      </c>
      <c r="BS74" s="2" t="s">
        <v>1413</v>
      </c>
      <c r="BT74" t="s">
        <v>1414</v>
      </c>
      <c r="BU74" s="2" t="s">
        <v>284</v>
      </c>
      <c r="BV74" s="2" t="s">
        <v>277</v>
      </c>
      <c r="BW74" s="1" t="s">
        <v>284</v>
      </c>
      <c r="BX74" s="2" t="s">
        <v>277</v>
      </c>
      <c r="BY74" t="s">
        <v>284</v>
      </c>
      <c r="BZ74" s="2" t="s">
        <v>277</v>
      </c>
      <c r="CA74" t="s">
        <v>1415</v>
      </c>
      <c r="CB74" t="s">
        <v>1416</v>
      </c>
      <c r="CC74" s="22" t="s">
        <v>1409</v>
      </c>
      <c r="CD74" s="66">
        <v>196</v>
      </c>
      <c r="CE74" s="66">
        <v>100</v>
      </c>
      <c r="CF74" s="48">
        <f t="shared" si="2"/>
        <v>0.33783783783783783</v>
      </c>
      <c r="CG74" s="48">
        <f>IF(Data!$CB74="NA",".",Data!$CF74-(1-Data!$CF74))</f>
        <v>-0.32432432432432434</v>
      </c>
      <c r="CH74" s="1" t="s">
        <v>277</v>
      </c>
      <c r="CI74" s="17">
        <v>0</v>
      </c>
      <c r="CJ74" s="17">
        <v>0</v>
      </c>
      <c r="CK74" s="17">
        <v>0</v>
      </c>
      <c r="CL74" s="10" t="s">
        <v>303</v>
      </c>
      <c r="CM74" s="10" t="s">
        <v>298</v>
      </c>
      <c r="CN74" s="10" t="s">
        <v>299</v>
      </c>
      <c r="CO74" s="10" t="s">
        <v>299</v>
      </c>
      <c r="CP74" s="10" t="s">
        <v>299</v>
      </c>
      <c r="CQ74" s="10" t="s">
        <v>299</v>
      </c>
      <c r="CR74" s="10" t="s">
        <v>299</v>
      </c>
      <c r="CS74" s="10" t="s">
        <v>298</v>
      </c>
      <c r="CT74" s="10" t="s">
        <v>538</v>
      </c>
      <c r="CU74" s="10" t="s">
        <v>298</v>
      </c>
      <c r="CV74" s="10" t="s">
        <v>298</v>
      </c>
      <c r="CW74" s="10" t="s">
        <v>299</v>
      </c>
      <c r="CX74" s="10" t="s">
        <v>299</v>
      </c>
      <c r="CY74" s="10" t="s">
        <v>298</v>
      </c>
      <c r="CZ74" s="10" t="s">
        <v>300</v>
      </c>
      <c r="DA74" s="10" t="s">
        <v>298</v>
      </c>
      <c r="DB74" s="10" t="s">
        <v>298</v>
      </c>
      <c r="DC74" s="10" t="s">
        <v>298</v>
      </c>
      <c r="DD74" s="10" t="s">
        <v>298</v>
      </c>
      <c r="DE74" s="10" t="s">
        <v>299</v>
      </c>
      <c r="DF74" s="10" t="s">
        <v>298</v>
      </c>
      <c r="DG74" s="10" t="s">
        <v>298</v>
      </c>
      <c r="DH74" s="10" t="s">
        <v>298</v>
      </c>
      <c r="DI74" s="10" t="s">
        <v>298</v>
      </c>
      <c r="DJ74" s="1" t="s">
        <v>277</v>
      </c>
      <c r="DK74" s="1" t="s">
        <v>277</v>
      </c>
      <c r="DL74" s="1" t="s">
        <v>278</v>
      </c>
      <c r="DM74" s="1" t="s">
        <v>278</v>
      </c>
      <c r="DN74" s="48" t="s">
        <v>278</v>
      </c>
      <c r="DO74" s="48" t="s">
        <v>278</v>
      </c>
      <c r="DP74" s="1" t="s">
        <v>277</v>
      </c>
      <c r="DQ74" s="17" t="s">
        <v>278</v>
      </c>
      <c r="DR74" s="17" t="s">
        <v>278</v>
      </c>
      <c r="DS74" s="17" t="s">
        <v>278</v>
      </c>
      <c r="DT74" s="1" t="s">
        <v>277</v>
      </c>
      <c r="DU74" s="1" t="s">
        <v>277</v>
      </c>
      <c r="DV74" s="1" t="s">
        <v>277</v>
      </c>
      <c r="DW74" s="1" t="s">
        <v>277</v>
      </c>
      <c r="DX74" s="1" t="s">
        <v>277</v>
      </c>
      <c r="DY74" s="1" t="s">
        <v>277</v>
      </c>
      <c r="DZ74" s="1" t="s">
        <v>277</v>
      </c>
      <c r="EA74" s="1" t="s">
        <v>277</v>
      </c>
      <c r="EB74" s="1" t="s">
        <v>277</v>
      </c>
      <c r="EC74" s="1" t="s">
        <v>277</v>
      </c>
      <c r="ED74" s="1" t="s">
        <v>277</v>
      </c>
      <c r="EE74" s="1" t="s">
        <v>277</v>
      </c>
      <c r="EF74" s="1" t="s">
        <v>277</v>
      </c>
      <c r="EG74" s="1" t="s">
        <v>277</v>
      </c>
      <c r="EH74" s="1" t="s">
        <v>277</v>
      </c>
      <c r="EI74" s="1" t="s">
        <v>277</v>
      </c>
      <c r="EJ74" s="1" t="s">
        <v>277</v>
      </c>
      <c r="EK74" s="1" t="s">
        <v>277</v>
      </c>
      <c r="EL74" s="1" t="s">
        <v>277</v>
      </c>
      <c r="EM74" s="1" t="s">
        <v>277</v>
      </c>
      <c r="EN74" s="1" t="s">
        <v>277</v>
      </c>
      <c r="EO74" s="1" t="s">
        <v>277</v>
      </c>
      <c r="EP74" s="1" t="s">
        <v>277</v>
      </c>
      <c r="EQ74" s="1" t="s">
        <v>277</v>
      </c>
    </row>
    <row r="75" spans="1:147" s="39" customFormat="1" ht="15" customHeight="1">
      <c r="A75" s="30" t="s">
        <v>1130</v>
      </c>
      <c r="B75" s="30">
        <v>72</v>
      </c>
      <c r="C75" s="30">
        <v>59</v>
      </c>
      <c r="D75" s="39" t="s">
        <v>1417</v>
      </c>
      <c r="E75" s="39" t="s">
        <v>1418</v>
      </c>
      <c r="F75" s="39" t="s">
        <v>1418</v>
      </c>
      <c r="G75" s="40">
        <v>1</v>
      </c>
      <c r="H75" s="40">
        <v>1</v>
      </c>
      <c r="I75" s="40">
        <v>1</v>
      </c>
      <c r="J75" s="39" t="s">
        <v>1717</v>
      </c>
      <c r="K75" s="39" t="s">
        <v>1419</v>
      </c>
      <c r="L75" s="1" t="s">
        <v>639</v>
      </c>
      <c r="M75" s="41" t="s">
        <v>1420</v>
      </c>
      <c r="N75" s="42">
        <v>0</v>
      </c>
      <c r="O75" s="39" t="s">
        <v>260</v>
      </c>
      <c r="P75" s="1" t="s">
        <v>261</v>
      </c>
      <c r="Q75" s="39" t="s">
        <v>1089</v>
      </c>
      <c r="R75" s="39" t="s">
        <v>1089</v>
      </c>
      <c r="S75" s="1" t="s">
        <v>325</v>
      </c>
      <c r="T75" s="30" t="s">
        <v>264</v>
      </c>
      <c r="U75" s="1" t="s">
        <v>265</v>
      </c>
      <c r="V75" s="30" t="s">
        <v>266</v>
      </c>
      <c r="W75" s="39" t="s">
        <v>267</v>
      </c>
      <c r="X75" s="43">
        <v>5.25</v>
      </c>
      <c r="Y75" s="43">
        <v>2.14</v>
      </c>
      <c r="Z75" s="43">
        <v>1.98</v>
      </c>
      <c r="AA75" s="43">
        <v>435</v>
      </c>
      <c r="AB75" s="43">
        <v>2016</v>
      </c>
      <c r="AC75" s="43">
        <v>2016</v>
      </c>
      <c r="AD75" s="43">
        <v>2016</v>
      </c>
      <c r="AE75" s="43">
        <v>19.67</v>
      </c>
      <c r="AF75" s="1" t="s">
        <v>269</v>
      </c>
      <c r="AG75" s="1" t="s">
        <v>590</v>
      </c>
      <c r="AH75" s="39" t="s">
        <v>798</v>
      </c>
      <c r="AI75" s="1" t="s">
        <v>272</v>
      </c>
      <c r="AJ75" s="39" t="s">
        <v>1421</v>
      </c>
      <c r="AK75" s="1" t="s">
        <v>274</v>
      </c>
      <c r="AL75" s="30" t="s">
        <v>1321</v>
      </c>
      <c r="AM75" t="s">
        <v>375</v>
      </c>
      <c r="AN75" s="43" t="s">
        <v>1004</v>
      </c>
      <c r="AO75" s="44">
        <v>1</v>
      </c>
      <c r="AP75" s="44">
        <v>1</v>
      </c>
      <c r="AQ75" s="44">
        <v>2</v>
      </c>
      <c r="AR75" s="44">
        <v>1</v>
      </c>
      <c r="AS75" s="44" t="s">
        <v>278</v>
      </c>
      <c r="AT75" s="44" t="s">
        <v>278</v>
      </c>
      <c r="AU75" s="44" t="s">
        <v>278</v>
      </c>
      <c r="AV75" s="44" t="s">
        <v>278</v>
      </c>
      <c r="AW75" s="39" t="s">
        <v>1422</v>
      </c>
      <c r="AX75" s="39" t="s">
        <v>1422</v>
      </c>
      <c r="AY75" s="45" t="s">
        <v>282</v>
      </c>
      <c r="AZ75" s="39" t="s">
        <v>1423</v>
      </c>
      <c r="BA75" t="s">
        <v>284</v>
      </c>
      <c r="BB75" s="39" t="s">
        <v>277</v>
      </c>
      <c r="BC75" s="2" t="s">
        <v>284</v>
      </c>
      <c r="BD75" s="39" t="s">
        <v>277</v>
      </c>
      <c r="BE75" s="3" t="s">
        <v>284</v>
      </c>
      <c r="BF75" s="39" t="s">
        <v>277</v>
      </c>
      <c r="BG75" t="s">
        <v>284</v>
      </c>
      <c r="BH75" s="39" t="s">
        <v>277</v>
      </c>
      <c r="BI75" s="46" t="s">
        <v>380</v>
      </c>
      <c r="BJ75" s="39" t="s">
        <v>1424</v>
      </c>
      <c r="BK75" s="39" t="s">
        <v>284</v>
      </c>
      <c r="BL75" s="39" t="s">
        <v>277</v>
      </c>
      <c r="BM75" t="s">
        <v>284</v>
      </c>
      <c r="BN75" s="39" t="s">
        <v>277</v>
      </c>
      <c r="BO75" s="2" t="s">
        <v>284</v>
      </c>
      <c r="BP75" s="46" t="s">
        <v>277</v>
      </c>
      <c r="BQ75" s="2" t="s">
        <v>362</v>
      </c>
      <c r="BR75" s="39" t="s">
        <v>277</v>
      </c>
      <c r="BS75" s="2" t="s">
        <v>362</v>
      </c>
      <c r="BT75" s="46" t="s">
        <v>277</v>
      </c>
      <c r="BU75" s="46" t="s">
        <v>284</v>
      </c>
      <c r="BV75" s="46" t="s">
        <v>277</v>
      </c>
      <c r="BW75" s="1" t="s">
        <v>709</v>
      </c>
      <c r="BX75" s="46" t="s">
        <v>1425</v>
      </c>
      <c r="BY75" s="39" t="s">
        <v>284</v>
      </c>
      <c r="BZ75" s="46" t="s">
        <v>277</v>
      </c>
      <c r="CA75" s="39" t="s">
        <v>1426</v>
      </c>
      <c r="CB75" s="39" t="s">
        <v>1427</v>
      </c>
      <c r="CC75" s="39" t="s">
        <v>1423</v>
      </c>
      <c r="CD75" s="67">
        <v>15500</v>
      </c>
      <c r="CE75" s="67">
        <v>6000</v>
      </c>
      <c r="CF75" s="48">
        <f t="shared" si="2"/>
        <v>0.27906976744186046</v>
      </c>
      <c r="CG75" s="48">
        <f>IF(Data!$CB75="NA",".",Data!$CF75-(1-Data!$CF75))</f>
        <v>-0.441860465116279</v>
      </c>
      <c r="CH75" s="1" t="s">
        <v>277</v>
      </c>
      <c r="CI75" s="44">
        <v>0</v>
      </c>
      <c r="CJ75" s="44">
        <v>0</v>
      </c>
      <c r="CK75" s="44">
        <v>0</v>
      </c>
      <c r="CL75" s="10" t="s">
        <v>303</v>
      </c>
      <c r="CM75" s="10" t="s">
        <v>298</v>
      </c>
      <c r="CN75" s="10" t="s">
        <v>299</v>
      </c>
      <c r="CO75" s="10" t="s">
        <v>299</v>
      </c>
      <c r="CP75" s="10" t="s">
        <v>299</v>
      </c>
      <c r="CQ75" s="10" t="s">
        <v>299</v>
      </c>
      <c r="CR75" s="10" t="s">
        <v>299</v>
      </c>
      <c r="CS75" s="10" t="s">
        <v>298</v>
      </c>
      <c r="CT75" s="10" t="s">
        <v>298</v>
      </c>
      <c r="CU75" s="10" t="s">
        <v>298</v>
      </c>
      <c r="CV75" s="10" t="s">
        <v>298</v>
      </c>
      <c r="CW75" s="10" t="s">
        <v>298</v>
      </c>
      <c r="CX75" s="10" t="s">
        <v>298</v>
      </c>
      <c r="CY75" s="10" t="s">
        <v>298</v>
      </c>
      <c r="CZ75" s="10" t="s">
        <v>300</v>
      </c>
      <c r="DA75" s="10" t="s">
        <v>298</v>
      </c>
      <c r="DB75" s="10" t="s">
        <v>298</v>
      </c>
      <c r="DC75" s="10" t="s">
        <v>298</v>
      </c>
      <c r="DD75" s="10" t="s">
        <v>298</v>
      </c>
      <c r="DE75" s="10" t="s">
        <v>299</v>
      </c>
      <c r="DF75" s="10" t="s">
        <v>298</v>
      </c>
      <c r="DG75" s="10" t="s">
        <v>298</v>
      </c>
      <c r="DH75" s="10" t="s">
        <v>298</v>
      </c>
      <c r="DI75" s="10" t="s">
        <v>298</v>
      </c>
      <c r="DJ75" s="1" t="s">
        <v>277</v>
      </c>
      <c r="DK75" s="1" t="s">
        <v>277</v>
      </c>
      <c r="DL75" s="1" t="s">
        <v>278</v>
      </c>
      <c r="DM75" s="1" t="s">
        <v>278</v>
      </c>
      <c r="DN75" s="48" t="s">
        <v>278</v>
      </c>
      <c r="DO75" s="48" t="s">
        <v>278</v>
      </c>
      <c r="DP75" s="1" t="s">
        <v>277</v>
      </c>
      <c r="DQ75" s="17" t="s">
        <v>278</v>
      </c>
      <c r="DR75" s="17" t="s">
        <v>278</v>
      </c>
      <c r="DS75" s="17" t="s">
        <v>278</v>
      </c>
      <c r="DT75" s="1" t="s">
        <v>277</v>
      </c>
      <c r="DU75" s="1" t="s">
        <v>277</v>
      </c>
      <c r="DV75" s="1" t="s">
        <v>277</v>
      </c>
      <c r="DW75" s="1" t="s">
        <v>277</v>
      </c>
      <c r="DX75" s="1" t="s">
        <v>277</v>
      </c>
      <c r="DY75" s="1" t="s">
        <v>277</v>
      </c>
      <c r="DZ75" s="1" t="s">
        <v>277</v>
      </c>
      <c r="EA75" s="1" t="s">
        <v>277</v>
      </c>
      <c r="EB75" s="1" t="s">
        <v>277</v>
      </c>
      <c r="EC75" s="1" t="s">
        <v>277</v>
      </c>
      <c r="ED75" s="1" t="s">
        <v>277</v>
      </c>
      <c r="EE75" s="1" t="s">
        <v>277</v>
      </c>
      <c r="EF75" s="1" t="s">
        <v>277</v>
      </c>
      <c r="EG75" s="1" t="s">
        <v>277</v>
      </c>
      <c r="EH75" s="1" t="s">
        <v>277</v>
      </c>
      <c r="EI75" s="1" t="s">
        <v>277</v>
      </c>
      <c r="EJ75" s="1" t="s">
        <v>277</v>
      </c>
      <c r="EK75" s="1" t="s">
        <v>277</v>
      </c>
      <c r="EL75" s="1" t="s">
        <v>277</v>
      </c>
      <c r="EM75" s="1" t="s">
        <v>277</v>
      </c>
      <c r="EN75" s="1" t="s">
        <v>277</v>
      </c>
      <c r="EO75" s="1" t="s">
        <v>277</v>
      </c>
      <c r="EP75" s="1" t="s">
        <v>277</v>
      </c>
      <c r="EQ75" s="1" t="s">
        <v>277</v>
      </c>
    </row>
    <row r="76" spans="1:147" ht="15" customHeight="1">
      <c r="A76" s="30" t="s">
        <v>1130</v>
      </c>
      <c r="B76" s="1">
        <v>73</v>
      </c>
      <c r="C76" s="1">
        <v>60</v>
      </c>
      <c r="D76" s="10">
        <v>2016</v>
      </c>
      <c r="E76" t="s">
        <v>1428</v>
      </c>
      <c r="F76" t="s">
        <v>1428</v>
      </c>
      <c r="G76" s="16">
        <v>2</v>
      </c>
      <c r="H76" s="16">
        <v>2</v>
      </c>
      <c r="I76" s="16">
        <v>1</v>
      </c>
      <c r="J76" t="s">
        <v>1429</v>
      </c>
      <c r="K76" t="s">
        <v>1430</v>
      </c>
      <c r="L76" s="1" t="s">
        <v>258</v>
      </c>
      <c r="M76" s="19" t="s">
        <v>1431</v>
      </c>
      <c r="N76" s="25">
        <v>0</v>
      </c>
      <c r="O76" t="s">
        <v>260</v>
      </c>
      <c r="P76" s="1" t="s">
        <v>261</v>
      </c>
      <c r="Q76" t="s">
        <v>1354</v>
      </c>
      <c r="S76" s="1" t="s">
        <v>325</v>
      </c>
      <c r="T76" s="1" t="s">
        <v>264</v>
      </c>
      <c r="U76" s="1" t="s">
        <v>346</v>
      </c>
      <c r="V76" s="1" t="s">
        <v>266</v>
      </c>
      <c r="W76" t="s">
        <v>267</v>
      </c>
      <c r="X76" s="10">
        <v>4.01</v>
      </c>
      <c r="Y76" s="10">
        <v>2.09</v>
      </c>
      <c r="Z76" s="10">
        <v>1.94</v>
      </c>
      <c r="AA76" s="10">
        <v>435</v>
      </c>
      <c r="AB76" s="10" t="s">
        <v>1432</v>
      </c>
      <c r="AC76" s="10">
        <v>2007</v>
      </c>
      <c r="AD76" s="10">
        <v>2012</v>
      </c>
      <c r="AE76" s="10">
        <v>17.5</v>
      </c>
      <c r="AF76" s="1" t="s">
        <v>269</v>
      </c>
      <c r="AG76" s="1" t="s">
        <v>270</v>
      </c>
      <c r="AH76" t="s">
        <v>1369</v>
      </c>
      <c r="AI76" s="1" t="s">
        <v>437</v>
      </c>
      <c r="AJ76" t="s">
        <v>1433</v>
      </c>
      <c r="AK76" t="s">
        <v>439</v>
      </c>
      <c r="AL76" s="1" t="s">
        <v>1321</v>
      </c>
      <c r="AM76" s="1" t="s">
        <v>375</v>
      </c>
      <c r="AN76" s="10" t="s">
        <v>277</v>
      </c>
      <c r="AO76" s="17">
        <v>1</v>
      </c>
      <c r="AP76" s="17">
        <v>3</v>
      </c>
      <c r="AQ76" s="17">
        <v>7</v>
      </c>
      <c r="AR76" s="17">
        <v>3</v>
      </c>
      <c r="AS76" s="17">
        <v>8</v>
      </c>
      <c r="AT76" s="17">
        <v>1200</v>
      </c>
      <c r="AU76" s="17">
        <v>1200</v>
      </c>
      <c r="AV76" s="17">
        <v>908</v>
      </c>
      <c r="AW76" t="s">
        <v>1371</v>
      </c>
      <c r="AX76" t="s">
        <v>1372</v>
      </c>
      <c r="AY76" s="1" t="s">
        <v>284</v>
      </c>
      <c r="AZ76" s="1" t="s">
        <v>277</v>
      </c>
      <c r="BA76" t="s">
        <v>284</v>
      </c>
      <c r="BB76" t="s">
        <v>277</v>
      </c>
      <c r="BC76" s="2" t="s">
        <v>284</v>
      </c>
      <c r="BD76" t="s">
        <v>277</v>
      </c>
      <c r="BE76" s="1" t="s">
        <v>284</v>
      </c>
      <c r="BF76" t="s">
        <v>277</v>
      </c>
      <c r="BG76" s="3" t="s">
        <v>919</v>
      </c>
      <c r="BH76" t="s">
        <v>1434</v>
      </c>
      <c r="BI76" s="2" t="s">
        <v>380</v>
      </c>
      <c r="BJ76" t="s">
        <v>1435</v>
      </c>
      <c r="BK76" t="s">
        <v>284</v>
      </c>
      <c r="BL76" t="s">
        <v>277</v>
      </c>
      <c r="BM76" t="s">
        <v>284</v>
      </c>
      <c r="BN76" t="s">
        <v>277</v>
      </c>
      <c r="BO76" s="2" t="s">
        <v>284</v>
      </c>
      <c r="BP76" s="2" t="s">
        <v>277</v>
      </c>
      <c r="BQ76" s="2" t="s">
        <v>362</v>
      </c>
      <c r="BR76" s="2" t="s">
        <v>277</v>
      </c>
      <c r="BS76" s="2" t="s">
        <v>362</v>
      </c>
      <c r="BT76" s="2" t="s">
        <v>277</v>
      </c>
      <c r="BU76" s="2" t="s">
        <v>284</v>
      </c>
      <c r="BV76" s="2" t="s">
        <v>277</v>
      </c>
      <c r="BW76" s="1" t="s">
        <v>284</v>
      </c>
      <c r="BX76" s="2" t="s">
        <v>277</v>
      </c>
      <c r="BY76" t="s">
        <v>284</v>
      </c>
      <c r="BZ76" s="2" t="s">
        <v>277</v>
      </c>
      <c r="CA76" t="s">
        <v>1436</v>
      </c>
      <c r="CB76" s="1" t="s">
        <v>277</v>
      </c>
      <c r="CC76" s="1" t="s">
        <v>277</v>
      </c>
      <c r="CD76" s="10" t="s">
        <v>278</v>
      </c>
      <c r="CE76" s="10" t="s">
        <v>278</v>
      </c>
      <c r="CF76" t="s">
        <v>278</v>
      </c>
      <c r="CG76" s="48" t="str">
        <f>IF(Data!$CB76="NA",".",Data!$CF76-(1-Data!$CF76))</f>
        <v>.</v>
      </c>
      <c r="CH76" s="1" t="s">
        <v>277</v>
      </c>
      <c r="CI76" s="17" t="s">
        <v>278</v>
      </c>
      <c r="CJ76" s="17" t="s">
        <v>278</v>
      </c>
      <c r="CK76" s="17" t="s">
        <v>278</v>
      </c>
      <c r="CL76" s="1" t="s">
        <v>277</v>
      </c>
      <c r="CM76" s="1" t="s">
        <v>277</v>
      </c>
      <c r="CN76" s="1" t="s">
        <v>277</v>
      </c>
      <c r="CO76" s="1" t="s">
        <v>277</v>
      </c>
      <c r="CP76" s="1" t="s">
        <v>277</v>
      </c>
      <c r="CQ76" s="1" t="s">
        <v>277</v>
      </c>
      <c r="CR76" s="1" t="s">
        <v>277</v>
      </c>
      <c r="CS76" s="1" t="s">
        <v>277</v>
      </c>
      <c r="CT76" s="1" t="s">
        <v>277</v>
      </c>
      <c r="CU76" s="1" t="s">
        <v>277</v>
      </c>
      <c r="CV76" s="1" t="s">
        <v>277</v>
      </c>
      <c r="CW76" s="1" t="s">
        <v>277</v>
      </c>
      <c r="CX76" s="1" t="s">
        <v>277</v>
      </c>
      <c r="CY76" s="1" t="s">
        <v>277</v>
      </c>
      <c r="CZ76" s="1" t="s">
        <v>277</v>
      </c>
      <c r="DA76" s="1" t="s">
        <v>277</v>
      </c>
      <c r="DB76" s="1" t="s">
        <v>277</v>
      </c>
      <c r="DC76" s="1" t="s">
        <v>277</v>
      </c>
      <c r="DD76" s="1" t="s">
        <v>277</v>
      </c>
      <c r="DE76" s="1" t="s">
        <v>277</v>
      </c>
      <c r="DF76" s="1" t="s">
        <v>277</v>
      </c>
      <c r="DG76" s="1" t="s">
        <v>277</v>
      </c>
      <c r="DH76" s="1" t="s">
        <v>277</v>
      </c>
      <c r="DI76" s="1" t="s">
        <v>277</v>
      </c>
      <c r="DJ76" s="1" t="s">
        <v>277</v>
      </c>
      <c r="DK76" s="1" t="s">
        <v>277</v>
      </c>
      <c r="DL76" s="1"/>
      <c r="DM76" s="1"/>
      <c r="DN76" t="s">
        <v>278</v>
      </c>
      <c r="DO76" s="48" t="str">
        <f>IF(Data!$CB76="NA",".",Data!$DN76-(1-Data!$DN76))</f>
        <v>.</v>
      </c>
      <c r="DP76" s="1" t="s">
        <v>277</v>
      </c>
      <c r="DQ76" s="17" t="s">
        <v>278</v>
      </c>
      <c r="DR76" s="17" t="s">
        <v>278</v>
      </c>
      <c r="DS76" s="17" t="s">
        <v>278</v>
      </c>
      <c r="DT76" s="1" t="s">
        <v>277</v>
      </c>
      <c r="DU76" s="1" t="s">
        <v>277</v>
      </c>
      <c r="DV76" s="1" t="s">
        <v>277</v>
      </c>
      <c r="DW76" s="1" t="s">
        <v>277</v>
      </c>
      <c r="DX76" s="1" t="s">
        <v>277</v>
      </c>
      <c r="DY76" s="1" t="s">
        <v>277</v>
      </c>
      <c r="DZ76" s="1" t="s">
        <v>277</v>
      </c>
      <c r="EA76" s="1" t="s">
        <v>277</v>
      </c>
      <c r="EB76" s="1" t="s">
        <v>277</v>
      </c>
      <c r="EC76" s="1" t="s">
        <v>277</v>
      </c>
      <c r="ED76" s="1" t="s">
        <v>277</v>
      </c>
      <c r="EE76" s="1" t="s">
        <v>277</v>
      </c>
      <c r="EF76" s="1" t="s">
        <v>277</v>
      </c>
      <c r="EG76" s="1" t="s">
        <v>277</v>
      </c>
      <c r="EH76" s="1" t="s">
        <v>277</v>
      </c>
      <c r="EI76" s="1" t="s">
        <v>277</v>
      </c>
      <c r="EJ76" s="1" t="s">
        <v>277</v>
      </c>
      <c r="EK76" s="1" t="s">
        <v>277</v>
      </c>
      <c r="EL76" s="1" t="s">
        <v>277</v>
      </c>
      <c r="EM76" s="1" t="s">
        <v>277</v>
      </c>
      <c r="EN76" s="1" t="s">
        <v>277</v>
      </c>
      <c r="EO76" s="1" t="s">
        <v>277</v>
      </c>
      <c r="EP76" s="1" t="s">
        <v>277</v>
      </c>
      <c r="EQ76" s="1" t="s">
        <v>277</v>
      </c>
    </row>
    <row r="77" spans="1:147" ht="15" customHeight="1">
      <c r="A77" s="30" t="s">
        <v>1130</v>
      </c>
      <c r="B77" s="1">
        <v>74</v>
      </c>
      <c r="C77" s="1">
        <v>61</v>
      </c>
      <c r="D77" s="10">
        <v>2011</v>
      </c>
      <c r="E77" t="s">
        <v>1437</v>
      </c>
      <c r="F77" t="s">
        <v>1437</v>
      </c>
      <c r="G77" s="16">
        <v>1</v>
      </c>
      <c r="H77" s="16">
        <v>2</v>
      </c>
      <c r="I77" s="16">
        <v>0</v>
      </c>
      <c r="J77" t="s">
        <v>1438</v>
      </c>
      <c r="K77" t="s">
        <v>514</v>
      </c>
      <c r="L77" s="1" t="s">
        <v>258</v>
      </c>
      <c r="M77" t="s">
        <v>1439</v>
      </c>
      <c r="N77" s="10">
        <v>60</v>
      </c>
      <c r="O77" t="s">
        <v>260</v>
      </c>
      <c r="P77" s="1" t="s">
        <v>261</v>
      </c>
      <c r="Q77" t="s">
        <v>1354</v>
      </c>
      <c r="S77" s="1" t="s">
        <v>325</v>
      </c>
      <c r="T77" s="1" t="s">
        <v>264</v>
      </c>
      <c r="U77" s="1" t="s">
        <v>346</v>
      </c>
      <c r="V77" s="1" t="s">
        <v>266</v>
      </c>
      <c r="W77" t="s">
        <v>267</v>
      </c>
      <c r="X77" s="10">
        <v>4.01</v>
      </c>
      <c r="Y77" s="10">
        <v>2.09</v>
      </c>
      <c r="Z77" s="10">
        <v>1.94</v>
      </c>
      <c r="AA77" s="10">
        <v>435</v>
      </c>
      <c r="AB77" s="10" t="s">
        <v>1440</v>
      </c>
      <c r="AC77" s="10">
        <v>2007</v>
      </c>
      <c r="AD77" s="10">
        <v>2008</v>
      </c>
      <c r="AE77" s="10">
        <v>17.24</v>
      </c>
      <c r="AF77" s="1" t="s">
        <v>269</v>
      </c>
      <c r="AG77" s="1" t="s">
        <v>270</v>
      </c>
      <c r="AH77" t="s">
        <v>1389</v>
      </c>
      <c r="AI77" s="1" t="s">
        <v>605</v>
      </c>
      <c r="AJ77" t="s">
        <v>277</v>
      </c>
      <c r="AK77" s="1" t="s">
        <v>606</v>
      </c>
      <c r="AL77" s="1" t="s">
        <v>1321</v>
      </c>
      <c r="AM77" t="s">
        <v>375</v>
      </c>
      <c r="AN77" s="10" t="s">
        <v>1004</v>
      </c>
      <c r="AO77" s="17">
        <v>1</v>
      </c>
      <c r="AP77" s="17">
        <v>1</v>
      </c>
      <c r="AQ77" s="17">
        <v>2</v>
      </c>
      <c r="AR77" s="17">
        <v>1</v>
      </c>
      <c r="AS77" s="17">
        <v>6</v>
      </c>
      <c r="AT77" s="17">
        <v>600</v>
      </c>
      <c r="AU77" s="17">
        <v>600</v>
      </c>
      <c r="AV77" s="17">
        <v>1135</v>
      </c>
      <c r="AW77" t="s">
        <v>1441</v>
      </c>
      <c r="AX77" t="s">
        <v>1442</v>
      </c>
      <c r="AY77" s="1" t="s">
        <v>284</v>
      </c>
      <c r="AZ77" t="s">
        <v>277</v>
      </c>
      <c r="BA77" t="s">
        <v>284</v>
      </c>
      <c r="BB77" t="s">
        <v>277</v>
      </c>
      <c r="BC77" s="2" t="s">
        <v>284</v>
      </c>
      <c r="BD77" t="s">
        <v>277</v>
      </c>
      <c r="BE77" s="1" t="s">
        <v>284</v>
      </c>
      <c r="BF77" t="s">
        <v>277</v>
      </c>
      <c r="BG77" s="1" t="s">
        <v>284</v>
      </c>
      <c r="BH77" t="s">
        <v>277</v>
      </c>
      <c r="BI77" s="1" t="s">
        <v>284</v>
      </c>
      <c r="BJ77" t="s">
        <v>277</v>
      </c>
      <c r="BK77" t="s">
        <v>284</v>
      </c>
      <c r="BL77" t="s">
        <v>277</v>
      </c>
      <c r="BM77" t="s">
        <v>284</v>
      </c>
      <c r="BN77" s="38" t="s">
        <v>277</v>
      </c>
      <c r="BO77" s="2" t="s">
        <v>284</v>
      </c>
      <c r="BP77" t="s">
        <v>277</v>
      </c>
      <c r="BQ77" s="2" t="s">
        <v>362</v>
      </c>
      <c r="BR77" s="2" t="s">
        <v>277</v>
      </c>
      <c r="BS77" s="2" t="s">
        <v>362</v>
      </c>
      <c r="BT77" t="s">
        <v>277</v>
      </c>
      <c r="BU77" t="s">
        <v>284</v>
      </c>
      <c r="BV77" t="s">
        <v>277</v>
      </c>
      <c r="BW77" t="s">
        <v>284</v>
      </c>
      <c r="BX77" t="s">
        <v>277</v>
      </c>
      <c r="BY77" t="s">
        <v>284</v>
      </c>
      <c r="BZ77" t="s">
        <v>277</v>
      </c>
      <c r="CA77" t="s">
        <v>1443</v>
      </c>
      <c r="CB77" s="1" t="s">
        <v>277</v>
      </c>
      <c r="CC77" s="1" t="s">
        <v>277</v>
      </c>
      <c r="CD77" s="10" t="s">
        <v>278</v>
      </c>
      <c r="CE77" s="10" t="s">
        <v>278</v>
      </c>
      <c r="CF77" t="s">
        <v>278</v>
      </c>
      <c r="CG77" s="48" t="str">
        <f>IF(Data!$CB77="NA",".",Data!$CF77-(1-Data!$CF77))</f>
        <v>.</v>
      </c>
      <c r="CH77" s="1" t="s">
        <v>277</v>
      </c>
      <c r="CI77" s="17" t="s">
        <v>278</v>
      </c>
      <c r="CJ77" s="17" t="s">
        <v>278</v>
      </c>
      <c r="CK77" s="17" t="s">
        <v>278</v>
      </c>
      <c r="CL77" s="1" t="s">
        <v>277</v>
      </c>
      <c r="CM77" s="1" t="s">
        <v>277</v>
      </c>
      <c r="CN77" s="1" t="s">
        <v>277</v>
      </c>
      <c r="CO77" s="1" t="s">
        <v>277</v>
      </c>
      <c r="CP77" s="1" t="s">
        <v>277</v>
      </c>
      <c r="CQ77" s="1" t="s">
        <v>277</v>
      </c>
      <c r="CR77" s="1" t="s">
        <v>277</v>
      </c>
      <c r="CS77" s="1" t="s">
        <v>277</v>
      </c>
      <c r="CT77" s="1" t="s">
        <v>277</v>
      </c>
      <c r="CU77" s="1" t="s">
        <v>277</v>
      </c>
      <c r="CV77" s="1" t="s">
        <v>277</v>
      </c>
      <c r="CW77" s="1" t="s">
        <v>277</v>
      </c>
      <c r="CX77" s="1" t="s">
        <v>277</v>
      </c>
      <c r="CY77" s="1" t="s">
        <v>277</v>
      </c>
      <c r="CZ77" s="1" t="s">
        <v>277</v>
      </c>
      <c r="DA77" s="1" t="s">
        <v>277</v>
      </c>
      <c r="DB77" s="1" t="s">
        <v>277</v>
      </c>
      <c r="DC77" s="1" t="s">
        <v>277</v>
      </c>
      <c r="DD77" s="1" t="s">
        <v>277</v>
      </c>
      <c r="DE77" s="1" t="s">
        <v>277</v>
      </c>
      <c r="DF77" s="1" t="s">
        <v>277</v>
      </c>
      <c r="DG77" s="1" t="s">
        <v>277</v>
      </c>
      <c r="DH77" s="1" t="s">
        <v>277</v>
      </c>
      <c r="DI77" s="1" t="s">
        <v>277</v>
      </c>
      <c r="DJ77" s="1" t="s">
        <v>277</v>
      </c>
      <c r="DK77" s="1" t="s">
        <v>277</v>
      </c>
      <c r="DL77" s="1"/>
      <c r="DM77" s="1"/>
      <c r="DN77" t="s">
        <v>278</v>
      </c>
      <c r="DO77" s="48" t="str">
        <f>IF(Data!$CB77="NA",".",Data!$DN77-(1-Data!$DN77))</f>
        <v>.</v>
      </c>
      <c r="DP77" s="1" t="s">
        <v>277</v>
      </c>
      <c r="DQ77" s="17" t="s">
        <v>278</v>
      </c>
      <c r="DR77" s="17" t="s">
        <v>278</v>
      </c>
      <c r="DS77" s="17" t="s">
        <v>278</v>
      </c>
      <c r="DT77" s="1" t="s">
        <v>277</v>
      </c>
      <c r="DU77" s="1" t="s">
        <v>277</v>
      </c>
      <c r="DV77" s="1" t="s">
        <v>277</v>
      </c>
      <c r="DW77" s="1" t="s">
        <v>277</v>
      </c>
      <c r="DX77" s="1" t="s">
        <v>277</v>
      </c>
      <c r="DY77" s="1" t="s">
        <v>277</v>
      </c>
      <c r="DZ77" s="1" t="s">
        <v>277</v>
      </c>
      <c r="EA77" s="1" t="s">
        <v>277</v>
      </c>
      <c r="EB77" s="1" t="s">
        <v>277</v>
      </c>
      <c r="EC77" s="1" t="s">
        <v>277</v>
      </c>
      <c r="ED77" s="1" t="s">
        <v>277</v>
      </c>
      <c r="EE77" s="1" t="s">
        <v>277</v>
      </c>
      <c r="EF77" s="1" t="s">
        <v>277</v>
      </c>
      <c r="EG77" s="1" t="s">
        <v>277</v>
      </c>
      <c r="EH77" s="1" t="s">
        <v>277</v>
      </c>
      <c r="EI77" s="1" t="s">
        <v>277</v>
      </c>
      <c r="EJ77" s="1" t="s">
        <v>277</v>
      </c>
      <c r="EK77" s="1" t="s">
        <v>277</v>
      </c>
      <c r="EL77" s="1" t="s">
        <v>277</v>
      </c>
      <c r="EM77" s="1" t="s">
        <v>277</v>
      </c>
      <c r="EN77" s="1" t="s">
        <v>277</v>
      </c>
      <c r="EO77" s="1" t="s">
        <v>277</v>
      </c>
      <c r="EP77" s="1" t="s">
        <v>277</v>
      </c>
      <c r="EQ77" s="1" t="s">
        <v>277</v>
      </c>
    </row>
    <row r="78" spans="1:147" ht="15" customHeight="1">
      <c r="A78" s="30" t="s">
        <v>254</v>
      </c>
      <c r="B78" s="1">
        <v>75</v>
      </c>
      <c r="C78" s="1">
        <v>62</v>
      </c>
      <c r="D78" s="10">
        <v>2017</v>
      </c>
      <c r="E78" t="s">
        <v>1444</v>
      </c>
      <c r="F78" t="s">
        <v>1444</v>
      </c>
      <c r="G78" s="16">
        <v>1</v>
      </c>
      <c r="H78" s="16">
        <v>1</v>
      </c>
      <c r="I78" s="16">
        <v>1</v>
      </c>
      <c r="J78" s="32" t="s">
        <v>1445</v>
      </c>
      <c r="K78" t="s">
        <v>1236</v>
      </c>
      <c r="L78" s="1" t="s">
        <v>1367</v>
      </c>
      <c r="M78" s="19" t="s">
        <v>1446</v>
      </c>
      <c r="N78" s="25">
        <v>1</v>
      </c>
      <c r="O78" t="s">
        <v>1447</v>
      </c>
      <c r="P78" s="1" t="s">
        <v>502</v>
      </c>
      <c r="Q78" t="s">
        <v>1448</v>
      </c>
      <c r="S78" s="1" t="s">
        <v>325</v>
      </c>
      <c r="T78" s="1" t="s">
        <v>264</v>
      </c>
      <c r="U78" s="1" t="s">
        <v>265</v>
      </c>
      <c r="V78" s="12" t="s">
        <v>1449</v>
      </c>
      <c r="W78" t="s">
        <v>646</v>
      </c>
      <c r="X78" s="10" t="s">
        <v>278</v>
      </c>
      <c r="Y78" s="10" t="s">
        <v>278</v>
      </c>
      <c r="Z78" s="10" t="s">
        <v>278</v>
      </c>
      <c r="AA78" s="10" t="s">
        <v>278</v>
      </c>
      <c r="AB78" s="10" t="s">
        <v>1450</v>
      </c>
      <c r="AC78" s="10">
        <v>1993</v>
      </c>
      <c r="AD78" s="10">
        <v>2010</v>
      </c>
      <c r="AE78" s="10" t="s">
        <v>278</v>
      </c>
      <c r="AF78" s="1" t="s">
        <v>269</v>
      </c>
      <c r="AG78" s="1" t="s">
        <v>270</v>
      </c>
      <c r="AH78" s="1" t="s">
        <v>1451</v>
      </c>
      <c r="AI78" s="1" t="s">
        <v>272</v>
      </c>
      <c r="AJ78" s="1" t="s">
        <v>1452</v>
      </c>
      <c r="AK78" s="1" t="s">
        <v>274</v>
      </c>
      <c r="AL78" t="s">
        <v>1453</v>
      </c>
      <c r="AM78" t="s">
        <v>375</v>
      </c>
      <c r="AN78" s="10" t="s">
        <v>277</v>
      </c>
      <c r="AO78" s="17">
        <v>3</v>
      </c>
      <c r="AP78" s="17">
        <v>7</v>
      </c>
      <c r="AQ78" s="17">
        <v>10</v>
      </c>
      <c r="AR78" s="17">
        <v>4</v>
      </c>
      <c r="AS78" s="17">
        <v>9</v>
      </c>
      <c r="AT78" s="17">
        <v>2550</v>
      </c>
      <c r="AU78" s="17">
        <v>2550</v>
      </c>
      <c r="AV78" s="17">
        <v>10</v>
      </c>
      <c r="AW78" t="s">
        <v>1454</v>
      </c>
      <c r="AX78" t="s">
        <v>1455</v>
      </c>
      <c r="AY78" s="1" t="s">
        <v>284</v>
      </c>
      <c r="AZ78" s="1" t="s">
        <v>277</v>
      </c>
      <c r="BA78" t="s">
        <v>284</v>
      </c>
      <c r="BB78" s="2" t="s">
        <v>1456</v>
      </c>
      <c r="BC78" s="2" t="s">
        <v>284</v>
      </c>
      <c r="BD78" s="2" t="s">
        <v>277</v>
      </c>
      <c r="BE78" s="3" t="s">
        <v>284</v>
      </c>
      <c r="BF78" s="2" t="s">
        <v>277</v>
      </c>
      <c r="BG78" s="3" t="s">
        <v>1457</v>
      </c>
      <c r="BH78" s="2" t="s">
        <v>1458</v>
      </c>
      <c r="BI78" s="2" t="s">
        <v>380</v>
      </c>
      <c r="BJ78" s="1" t="s">
        <v>1459</v>
      </c>
      <c r="BK78" t="s">
        <v>284</v>
      </c>
      <c r="BL78" s="2" t="s">
        <v>277</v>
      </c>
      <c r="BM78" t="s">
        <v>284</v>
      </c>
      <c r="BN78" s="2" t="s">
        <v>277</v>
      </c>
      <c r="BO78" s="2" t="s">
        <v>284</v>
      </c>
      <c r="BP78" s="2" t="s">
        <v>277</v>
      </c>
      <c r="BQ78" s="2" t="s">
        <v>362</v>
      </c>
      <c r="BR78" s="2" t="s">
        <v>277</v>
      </c>
      <c r="BS78" s="2" t="s">
        <v>362</v>
      </c>
      <c r="BT78" s="2" t="s">
        <v>277</v>
      </c>
      <c r="BU78" t="s">
        <v>284</v>
      </c>
      <c r="BV78" s="2" t="s">
        <v>277</v>
      </c>
      <c r="BW78" s="1" t="s">
        <v>958</v>
      </c>
      <c r="BX78" s="1" t="s">
        <v>1460</v>
      </c>
      <c r="BY78" t="s">
        <v>284</v>
      </c>
      <c r="BZ78" s="2" t="s">
        <v>277</v>
      </c>
      <c r="CA78" s="1" t="s">
        <v>1461</v>
      </c>
      <c r="CB78" s="1" t="s">
        <v>277</v>
      </c>
      <c r="CC78" s="1" t="s">
        <v>277</v>
      </c>
      <c r="CD78" s="10" t="s">
        <v>278</v>
      </c>
      <c r="CE78" s="10" t="s">
        <v>278</v>
      </c>
      <c r="CF78" t="s">
        <v>278</v>
      </c>
      <c r="CG78" s="48" t="str">
        <f>IF(Data!$CB78="NA",".",Data!$CF78-(1-Data!$CF78))</f>
        <v>.</v>
      </c>
      <c r="CH78" s="1" t="s">
        <v>277</v>
      </c>
      <c r="CI78" s="17" t="s">
        <v>278</v>
      </c>
      <c r="CJ78" s="17" t="s">
        <v>278</v>
      </c>
      <c r="CK78" s="17" t="s">
        <v>278</v>
      </c>
      <c r="CL78" s="1" t="s">
        <v>277</v>
      </c>
      <c r="CM78" s="1" t="s">
        <v>277</v>
      </c>
      <c r="CN78" s="1" t="s">
        <v>277</v>
      </c>
      <c r="CO78" s="1" t="s">
        <v>277</v>
      </c>
      <c r="CP78" s="1" t="s">
        <v>277</v>
      </c>
      <c r="CQ78" s="1" t="s">
        <v>277</v>
      </c>
      <c r="CR78" s="1" t="s">
        <v>277</v>
      </c>
      <c r="CS78" s="1" t="s">
        <v>277</v>
      </c>
      <c r="CT78" s="1" t="s">
        <v>277</v>
      </c>
      <c r="CU78" s="1" t="s">
        <v>277</v>
      </c>
      <c r="CV78" s="1" t="s">
        <v>277</v>
      </c>
      <c r="CW78" s="1" t="s">
        <v>277</v>
      </c>
      <c r="CX78" s="1" t="s">
        <v>277</v>
      </c>
      <c r="CY78" s="1" t="s">
        <v>277</v>
      </c>
      <c r="CZ78" s="1" t="s">
        <v>277</v>
      </c>
      <c r="DA78" s="1" t="s">
        <v>277</v>
      </c>
      <c r="DB78" s="1" t="s">
        <v>277</v>
      </c>
      <c r="DC78" s="1" t="s">
        <v>277</v>
      </c>
      <c r="DD78" s="1" t="s">
        <v>277</v>
      </c>
      <c r="DE78" s="1" t="s">
        <v>277</v>
      </c>
      <c r="DF78" s="1" t="s">
        <v>277</v>
      </c>
      <c r="DG78" s="1" t="s">
        <v>277</v>
      </c>
      <c r="DH78" s="1" t="s">
        <v>277</v>
      </c>
      <c r="DI78" s="1" t="s">
        <v>277</v>
      </c>
      <c r="DJ78" s="1" t="s">
        <v>277</v>
      </c>
      <c r="DK78" s="1" t="s">
        <v>277</v>
      </c>
      <c r="DL78" s="1"/>
      <c r="DM78" s="1"/>
      <c r="DN78" t="s">
        <v>278</v>
      </c>
      <c r="DO78" s="48" t="str">
        <f>IF(Data!$CB78="NA",".",Data!$DN78-(1-Data!$DN78))</f>
        <v>.</v>
      </c>
      <c r="DP78" s="1" t="s">
        <v>277</v>
      </c>
      <c r="DQ78" s="17" t="s">
        <v>278</v>
      </c>
      <c r="DR78" s="17" t="s">
        <v>278</v>
      </c>
      <c r="DS78" s="17" t="s">
        <v>278</v>
      </c>
      <c r="DT78" s="1" t="s">
        <v>277</v>
      </c>
      <c r="DU78" s="1" t="s">
        <v>277</v>
      </c>
      <c r="DV78" s="1" t="s">
        <v>277</v>
      </c>
      <c r="DW78" s="1" t="s">
        <v>277</v>
      </c>
      <c r="DX78" s="1" t="s">
        <v>277</v>
      </c>
      <c r="DY78" s="1" t="s">
        <v>277</v>
      </c>
      <c r="DZ78" s="1" t="s">
        <v>277</v>
      </c>
      <c r="EA78" s="1" t="s">
        <v>277</v>
      </c>
      <c r="EB78" s="1" t="s">
        <v>277</v>
      </c>
      <c r="EC78" s="1" t="s">
        <v>277</v>
      </c>
      <c r="ED78" s="1" t="s">
        <v>277</v>
      </c>
      <c r="EE78" s="1" t="s">
        <v>277</v>
      </c>
      <c r="EF78" s="1" t="s">
        <v>277</v>
      </c>
      <c r="EG78" s="1" t="s">
        <v>277</v>
      </c>
      <c r="EH78" s="1" t="s">
        <v>277</v>
      </c>
      <c r="EI78" s="1" t="s">
        <v>277</v>
      </c>
      <c r="EJ78" s="1" t="s">
        <v>277</v>
      </c>
      <c r="EK78" s="1" t="s">
        <v>277</v>
      </c>
      <c r="EL78" s="1" t="s">
        <v>277</v>
      </c>
      <c r="EM78" s="1" t="s">
        <v>277</v>
      </c>
      <c r="EN78" s="1" t="s">
        <v>277</v>
      </c>
      <c r="EO78" s="1" t="s">
        <v>277</v>
      </c>
      <c r="EP78" s="1" t="s">
        <v>277</v>
      </c>
      <c r="EQ78" s="1" t="s">
        <v>277</v>
      </c>
    </row>
    <row r="79" spans="1:147" ht="15" customHeight="1">
      <c r="A79" s="30" t="s">
        <v>254</v>
      </c>
      <c r="B79" s="1">
        <v>76</v>
      </c>
      <c r="C79" s="1">
        <v>63</v>
      </c>
      <c r="D79" s="10">
        <v>2013</v>
      </c>
      <c r="E79" t="s">
        <v>1462</v>
      </c>
      <c r="F79" t="s">
        <v>1462</v>
      </c>
      <c r="G79" s="16">
        <v>1</v>
      </c>
      <c r="H79" s="16">
        <v>1</v>
      </c>
      <c r="I79" s="16">
        <v>1</v>
      </c>
      <c r="J79" t="s">
        <v>1463</v>
      </c>
      <c r="K79" t="s">
        <v>1236</v>
      </c>
      <c r="L79" s="1" t="s">
        <v>1367</v>
      </c>
      <c r="M79" s="19" t="s">
        <v>1464</v>
      </c>
      <c r="N79" s="25">
        <v>33</v>
      </c>
      <c r="O79" t="s">
        <v>501</v>
      </c>
      <c r="P79" s="1" t="s">
        <v>502</v>
      </c>
      <c r="Q79" t="s">
        <v>695</v>
      </c>
      <c r="R79" t="s">
        <v>1737</v>
      </c>
      <c r="S79" s="1" t="s">
        <v>263</v>
      </c>
      <c r="T79" s="1" t="s">
        <v>264</v>
      </c>
      <c r="U79" s="1" t="s">
        <v>265</v>
      </c>
      <c r="V79" s="1" t="s">
        <v>503</v>
      </c>
      <c r="W79" t="s">
        <v>267</v>
      </c>
      <c r="X79" s="10">
        <v>13.56</v>
      </c>
      <c r="Y79" s="10">
        <v>3.77</v>
      </c>
      <c r="Z79" s="10">
        <v>2.54</v>
      </c>
      <c r="AA79" s="10">
        <v>301</v>
      </c>
      <c r="AB79" s="1">
        <v>2000</v>
      </c>
      <c r="AC79" s="1">
        <v>2000</v>
      </c>
      <c r="AD79" s="1">
        <v>2000</v>
      </c>
      <c r="AE79" s="1">
        <v>20.6</v>
      </c>
      <c r="AF79" s="1" t="s">
        <v>269</v>
      </c>
      <c r="AG79" s="1" t="s">
        <v>270</v>
      </c>
      <c r="AH79" t="s">
        <v>1465</v>
      </c>
      <c r="AI79" s="1" t="s">
        <v>605</v>
      </c>
      <c r="AJ79" t="s">
        <v>277</v>
      </c>
      <c r="AK79" s="1" t="s">
        <v>606</v>
      </c>
      <c r="AL79" t="s">
        <v>1466</v>
      </c>
      <c r="AM79" t="s">
        <v>375</v>
      </c>
      <c r="AN79" s="1" t="s">
        <v>1307</v>
      </c>
      <c r="AO79" s="17">
        <v>1</v>
      </c>
      <c r="AP79" s="18">
        <v>1</v>
      </c>
      <c r="AQ79" s="17">
        <v>5</v>
      </c>
      <c r="AR79" s="17">
        <v>1</v>
      </c>
      <c r="AS79" s="17">
        <v>4</v>
      </c>
      <c r="AT79" s="17">
        <v>825</v>
      </c>
      <c r="AU79" s="17">
        <v>825</v>
      </c>
      <c r="AV79" s="17">
        <v>825</v>
      </c>
      <c r="AW79" t="s">
        <v>1467</v>
      </c>
      <c r="AX79" t="s">
        <v>1468</v>
      </c>
      <c r="AY79" s="1" t="s">
        <v>282</v>
      </c>
      <c r="AZ79" t="s">
        <v>1469</v>
      </c>
      <c r="BA79" t="s">
        <v>284</v>
      </c>
      <c r="BB79" t="s">
        <v>277</v>
      </c>
      <c r="BC79" s="2" t="s">
        <v>1470</v>
      </c>
      <c r="BD79" s="29" t="s">
        <v>1471</v>
      </c>
      <c r="BE79" s="3" t="s">
        <v>284</v>
      </c>
      <c r="BF79" t="s">
        <v>1472</v>
      </c>
      <c r="BG79" s="3" t="s">
        <v>1457</v>
      </c>
      <c r="BH79" t="s">
        <v>1473</v>
      </c>
      <c r="BI79" s="2" t="s">
        <v>284</v>
      </c>
      <c r="BJ79" s="2" t="s">
        <v>277</v>
      </c>
      <c r="BK79" t="s">
        <v>284</v>
      </c>
      <c r="BL79" t="s">
        <v>1474</v>
      </c>
      <c r="BM79" t="s">
        <v>284</v>
      </c>
      <c r="BN79" t="s">
        <v>277</v>
      </c>
      <c r="BO79" s="2" t="s">
        <v>284</v>
      </c>
      <c r="BP79" s="2" t="s">
        <v>277</v>
      </c>
      <c r="BQ79" s="2" t="s">
        <v>470</v>
      </c>
      <c r="BR79" t="s">
        <v>1475</v>
      </c>
      <c r="BS79" s="2" t="s">
        <v>362</v>
      </c>
      <c r="BT79" s="2" t="s">
        <v>277</v>
      </c>
      <c r="BU79" t="s">
        <v>284</v>
      </c>
      <c r="BV79" s="2" t="s">
        <v>1476</v>
      </c>
      <c r="BW79" t="s">
        <v>284</v>
      </c>
      <c r="BX79" s="2" t="s">
        <v>277</v>
      </c>
      <c r="BY79" t="s">
        <v>289</v>
      </c>
      <c r="BZ79" t="s">
        <v>1477</v>
      </c>
      <c r="CA79" t="s">
        <v>1478</v>
      </c>
      <c r="CB79" t="s">
        <v>1479</v>
      </c>
      <c r="CC79" t="s">
        <v>1480</v>
      </c>
      <c r="CD79" s="49">
        <v>86</v>
      </c>
      <c r="CE79" s="49">
        <v>77</v>
      </c>
      <c r="CF79" s="48">
        <f>CE79/(CE79+CD79)</f>
        <v>0.4723926380368098</v>
      </c>
      <c r="CG79" s="48">
        <f>IF(Data!$CB79="NA",".",Data!$CF79-(1-Data!$CF79))</f>
        <v>-0.05521472392638044</v>
      </c>
      <c r="CH79" s="1" t="s">
        <v>277</v>
      </c>
      <c r="CI79" s="17">
        <v>0</v>
      </c>
      <c r="CJ79" s="17">
        <v>0</v>
      </c>
      <c r="CK79" s="17">
        <v>0</v>
      </c>
      <c r="CL79" s="10" t="s">
        <v>303</v>
      </c>
      <c r="CM79" s="10" t="s">
        <v>298</v>
      </c>
      <c r="CN79" s="10" t="s">
        <v>299</v>
      </c>
      <c r="CO79" s="10" t="s">
        <v>299</v>
      </c>
      <c r="CP79" s="10" t="s">
        <v>299</v>
      </c>
      <c r="CQ79" s="10" t="s">
        <v>299</v>
      </c>
      <c r="CR79" s="10" t="s">
        <v>299</v>
      </c>
      <c r="CS79" s="10" t="s">
        <v>298</v>
      </c>
      <c r="CT79" s="10" t="s">
        <v>366</v>
      </c>
      <c r="CU79" s="10" t="s">
        <v>298</v>
      </c>
      <c r="CV79" s="10" t="s">
        <v>298</v>
      </c>
      <c r="CW79" s="10" t="s">
        <v>298</v>
      </c>
      <c r="CX79" s="10" t="s">
        <v>298</v>
      </c>
      <c r="CY79" s="10" t="s">
        <v>298</v>
      </c>
      <c r="CZ79" s="10" t="s">
        <v>300</v>
      </c>
      <c r="DA79" s="10" t="s">
        <v>298</v>
      </c>
      <c r="DB79" s="10" t="s">
        <v>298</v>
      </c>
      <c r="DC79" s="10" t="s">
        <v>298</v>
      </c>
      <c r="DD79" s="10" t="s">
        <v>298</v>
      </c>
      <c r="DE79" s="10" t="s">
        <v>298</v>
      </c>
      <c r="DF79" s="10" t="s">
        <v>298</v>
      </c>
      <c r="DG79" s="10" t="s">
        <v>298</v>
      </c>
      <c r="DH79" s="10" t="s">
        <v>298</v>
      </c>
      <c r="DI79" s="10" t="s">
        <v>298</v>
      </c>
      <c r="DJ79" s="1" t="s">
        <v>277</v>
      </c>
      <c r="DK79" s="1" t="s">
        <v>277</v>
      </c>
      <c r="DL79" s="1" t="s">
        <v>278</v>
      </c>
      <c r="DM79" s="1" t="s">
        <v>278</v>
      </c>
      <c r="DN79" s="48" t="s">
        <v>278</v>
      </c>
      <c r="DO79" s="48" t="s">
        <v>278</v>
      </c>
      <c r="DP79" s="1" t="s">
        <v>277</v>
      </c>
      <c r="DQ79" s="17" t="s">
        <v>278</v>
      </c>
      <c r="DR79" s="17" t="s">
        <v>278</v>
      </c>
      <c r="DS79" s="17" t="s">
        <v>278</v>
      </c>
      <c r="DT79" s="1" t="s">
        <v>277</v>
      </c>
      <c r="DU79" s="1" t="s">
        <v>277</v>
      </c>
      <c r="DV79" s="1" t="s">
        <v>277</v>
      </c>
      <c r="DW79" s="1" t="s">
        <v>277</v>
      </c>
      <c r="DX79" s="1" t="s">
        <v>277</v>
      </c>
      <c r="DY79" s="1" t="s">
        <v>277</v>
      </c>
      <c r="DZ79" s="1" t="s">
        <v>277</v>
      </c>
      <c r="EA79" s="1" t="s">
        <v>277</v>
      </c>
      <c r="EB79" s="1" t="s">
        <v>277</v>
      </c>
      <c r="EC79" s="1" t="s">
        <v>277</v>
      </c>
      <c r="ED79" s="1" t="s">
        <v>277</v>
      </c>
      <c r="EE79" s="1" t="s">
        <v>277</v>
      </c>
      <c r="EF79" s="1" t="s">
        <v>277</v>
      </c>
      <c r="EG79" s="1" t="s">
        <v>277</v>
      </c>
      <c r="EH79" s="1" t="s">
        <v>277</v>
      </c>
      <c r="EI79" s="1" t="s">
        <v>277</v>
      </c>
      <c r="EJ79" s="1" t="s">
        <v>277</v>
      </c>
      <c r="EK79" s="1" t="s">
        <v>277</v>
      </c>
      <c r="EL79" s="1" t="s">
        <v>277</v>
      </c>
      <c r="EM79" s="1" t="s">
        <v>277</v>
      </c>
      <c r="EN79" s="1" t="s">
        <v>277</v>
      </c>
      <c r="EO79" s="1" t="s">
        <v>277</v>
      </c>
      <c r="EP79" s="1" t="s">
        <v>277</v>
      </c>
      <c r="EQ79" s="1" t="s">
        <v>277</v>
      </c>
    </row>
    <row r="80" spans="1:147" ht="15" customHeight="1">
      <c r="A80" s="30" t="s">
        <v>254</v>
      </c>
      <c r="B80" s="1">
        <v>77</v>
      </c>
      <c r="C80" s="1">
        <v>63</v>
      </c>
      <c r="D80" s="10">
        <v>2013</v>
      </c>
      <c r="E80" t="s">
        <v>1462</v>
      </c>
      <c r="F80" t="s">
        <v>1462</v>
      </c>
      <c r="G80" s="16">
        <v>1</v>
      </c>
      <c r="H80" s="16">
        <v>1</v>
      </c>
      <c r="I80" s="16">
        <v>1</v>
      </c>
      <c r="J80" t="s">
        <v>1463</v>
      </c>
      <c r="K80" t="s">
        <v>1236</v>
      </c>
      <c r="L80" s="1" t="s">
        <v>1367</v>
      </c>
      <c r="M80" s="19" t="s">
        <v>1464</v>
      </c>
      <c r="N80" s="25">
        <v>33</v>
      </c>
      <c r="O80" t="s">
        <v>501</v>
      </c>
      <c r="P80" s="1" t="s">
        <v>502</v>
      </c>
      <c r="Q80" t="s">
        <v>1481</v>
      </c>
      <c r="R80" t="s">
        <v>1738</v>
      </c>
      <c r="S80" s="1" t="s">
        <v>263</v>
      </c>
      <c r="T80" s="1" t="s">
        <v>264</v>
      </c>
      <c r="U80" s="1" t="s">
        <v>265</v>
      </c>
      <c r="V80" s="1" t="s">
        <v>503</v>
      </c>
      <c r="W80" t="s">
        <v>267</v>
      </c>
      <c r="X80" s="10">
        <v>13.56</v>
      </c>
      <c r="Y80" s="10">
        <v>3.77</v>
      </c>
      <c r="Z80" s="10">
        <v>2.54</v>
      </c>
      <c r="AA80" s="10">
        <v>301</v>
      </c>
      <c r="AB80" s="1">
        <v>2000</v>
      </c>
      <c r="AC80" s="1">
        <v>2000</v>
      </c>
      <c r="AD80" s="1">
        <v>2000</v>
      </c>
      <c r="AE80" s="1">
        <v>20.6</v>
      </c>
      <c r="AF80" s="1" t="s">
        <v>269</v>
      </c>
      <c r="AG80" s="1" t="s">
        <v>270</v>
      </c>
      <c r="AH80" t="s">
        <v>1482</v>
      </c>
      <c r="AI80" s="1" t="s">
        <v>605</v>
      </c>
      <c r="AJ80" t="s">
        <v>277</v>
      </c>
      <c r="AK80" s="1" t="s">
        <v>606</v>
      </c>
      <c r="AL80" t="s">
        <v>1466</v>
      </c>
      <c r="AM80" t="s">
        <v>375</v>
      </c>
      <c r="AN80" s="1" t="s">
        <v>277</v>
      </c>
      <c r="AO80" s="17">
        <v>1</v>
      </c>
      <c r="AP80" s="18">
        <v>1</v>
      </c>
      <c r="AQ80" s="17">
        <v>1808</v>
      </c>
      <c r="AR80" s="17">
        <v>373</v>
      </c>
      <c r="AS80" s="17">
        <v>1</v>
      </c>
      <c r="AT80" s="17" t="s">
        <v>278</v>
      </c>
      <c r="AU80" s="17">
        <f>97+17</f>
        <v>114</v>
      </c>
      <c r="AV80" s="17">
        <f>97+17</f>
        <v>114</v>
      </c>
      <c r="AW80" t="s">
        <v>1483</v>
      </c>
      <c r="AX80" t="s">
        <v>1484</v>
      </c>
      <c r="AY80" s="1" t="s">
        <v>330</v>
      </c>
      <c r="AZ80" t="s">
        <v>1485</v>
      </c>
      <c r="BA80" t="s">
        <v>284</v>
      </c>
      <c r="BB80" t="s">
        <v>277</v>
      </c>
      <c r="BC80" s="2" t="s">
        <v>284</v>
      </c>
      <c r="BD80" t="s">
        <v>277</v>
      </c>
      <c r="BE80" s="3" t="s">
        <v>284</v>
      </c>
      <c r="BF80" s="2" t="s">
        <v>277</v>
      </c>
      <c r="BG80" s="3" t="s">
        <v>284</v>
      </c>
      <c r="BH80" s="2" t="s">
        <v>277</v>
      </c>
      <c r="BI80" s="2" t="s">
        <v>284</v>
      </c>
      <c r="BJ80" s="2" t="s">
        <v>277</v>
      </c>
      <c r="BK80" t="s">
        <v>284</v>
      </c>
      <c r="BL80" t="s">
        <v>277</v>
      </c>
      <c r="BM80" t="s">
        <v>284</v>
      </c>
      <c r="BN80" s="26" t="s">
        <v>277</v>
      </c>
      <c r="BO80" s="2" t="s">
        <v>284</v>
      </c>
      <c r="BP80" s="2" t="s">
        <v>277</v>
      </c>
      <c r="BQ80" s="2" t="s">
        <v>362</v>
      </c>
      <c r="BR80" s="2" t="s">
        <v>277</v>
      </c>
      <c r="BS80" s="2" t="s">
        <v>362</v>
      </c>
      <c r="BT80" s="2" t="s">
        <v>277</v>
      </c>
      <c r="BU80" t="s">
        <v>284</v>
      </c>
      <c r="BV80" s="2" t="s">
        <v>277</v>
      </c>
      <c r="BW80" t="s">
        <v>284</v>
      </c>
      <c r="BX80" s="1" t="s">
        <v>277</v>
      </c>
      <c r="BY80" t="s">
        <v>284</v>
      </c>
      <c r="BZ80" s="2" t="s">
        <v>277</v>
      </c>
      <c r="CA80" s="2" t="s">
        <v>277</v>
      </c>
      <c r="CB80" s="23" t="s">
        <v>1486</v>
      </c>
      <c r="CC80" s="23" t="s">
        <v>1487</v>
      </c>
      <c r="CD80" s="49">
        <f>635/(1808-373)</f>
        <v>0.4425087108013937</v>
      </c>
      <c r="CE80" s="49">
        <f>147/373</f>
        <v>0.3941018766756032</v>
      </c>
      <c r="CF80" s="48">
        <f>CE80/(CE80+CD80)</f>
        <v>0.47106967396159</v>
      </c>
      <c r="CG80" s="48">
        <f>IF(Data!$CB80="NA",".",Data!$CF80-(1-Data!$CF80))</f>
        <v>-0.05786065207681995</v>
      </c>
      <c r="CH80" s="1" t="s">
        <v>277</v>
      </c>
      <c r="CI80" s="17">
        <v>0</v>
      </c>
      <c r="CJ80" s="17">
        <v>1</v>
      </c>
      <c r="CK80" s="17">
        <v>0</v>
      </c>
      <c r="CL80" s="10" t="s">
        <v>303</v>
      </c>
      <c r="CM80" s="10" t="s">
        <v>298</v>
      </c>
      <c r="CN80" s="10" t="s">
        <v>299</v>
      </c>
      <c r="CO80" s="10" t="s">
        <v>299</v>
      </c>
      <c r="CP80" s="10" t="s">
        <v>299</v>
      </c>
      <c r="CQ80" s="10" t="s">
        <v>299</v>
      </c>
      <c r="CR80" s="10" t="s">
        <v>299</v>
      </c>
      <c r="CS80" s="10" t="s">
        <v>298</v>
      </c>
      <c r="CT80" s="10" t="s">
        <v>298</v>
      </c>
      <c r="CU80" s="10" t="s">
        <v>298</v>
      </c>
      <c r="CV80" s="10" t="s">
        <v>298</v>
      </c>
      <c r="CW80" s="10" t="s">
        <v>298</v>
      </c>
      <c r="CX80" s="10" t="s">
        <v>298</v>
      </c>
      <c r="CY80" s="10" t="s">
        <v>298</v>
      </c>
      <c r="CZ80" s="10" t="s">
        <v>300</v>
      </c>
      <c r="DA80" s="10" t="s">
        <v>298</v>
      </c>
      <c r="DB80" s="10" t="s">
        <v>298</v>
      </c>
      <c r="DC80" s="10" t="s">
        <v>298</v>
      </c>
      <c r="DD80" s="10" t="s">
        <v>298</v>
      </c>
      <c r="DE80" s="10" t="s">
        <v>298</v>
      </c>
      <c r="DF80" s="10" t="s">
        <v>298</v>
      </c>
      <c r="DG80" s="10" t="s">
        <v>298</v>
      </c>
      <c r="DH80" s="10" t="s">
        <v>298</v>
      </c>
      <c r="DI80" s="10" t="s">
        <v>298</v>
      </c>
      <c r="DJ80" s="1" t="s">
        <v>277</v>
      </c>
      <c r="DK80" s="1" t="s">
        <v>277</v>
      </c>
      <c r="DL80" s="1" t="s">
        <v>278</v>
      </c>
      <c r="DM80" s="1" t="s">
        <v>278</v>
      </c>
      <c r="DN80" s="48" t="s">
        <v>278</v>
      </c>
      <c r="DO80" s="48" t="s">
        <v>278</v>
      </c>
      <c r="DP80" s="1" t="s">
        <v>277</v>
      </c>
      <c r="DQ80" s="17" t="s">
        <v>278</v>
      </c>
      <c r="DR80" s="17" t="s">
        <v>278</v>
      </c>
      <c r="DS80" s="17" t="s">
        <v>278</v>
      </c>
      <c r="DT80" s="1" t="s">
        <v>277</v>
      </c>
      <c r="DU80" s="1" t="s">
        <v>277</v>
      </c>
      <c r="DV80" s="1" t="s">
        <v>277</v>
      </c>
      <c r="DW80" s="1" t="s">
        <v>277</v>
      </c>
      <c r="DX80" s="1" t="s">
        <v>277</v>
      </c>
      <c r="DY80" s="1" t="s">
        <v>277</v>
      </c>
      <c r="DZ80" s="1" t="s">
        <v>277</v>
      </c>
      <c r="EA80" s="1" t="s">
        <v>277</v>
      </c>
      <c r="EB80" s="1" t="s">
        <v>277</v>
      </c>
      <c r="EC80" s="1" t="s">
        <v>277</v>
      </c>
      <c r="ED80" s="1" t="s">
        <v>277</v>
      </c>
      <c r="EE80" s="1" t="s">
        <v>277</v>
      </c>
      <c r="EF80" s="1" t="s">
        <v>277</v>
      </c>
      <c r="EG80" s="1" t="s">
        <v>277</v>
      </c>
      <c r="EH80" s="1" t="s">
        <v>277</v>
      </c>
      <c r="EI80" s="1" t="s">
        <v>277</v>
      </c>
      <c r="EJ80" s="1" t="s">
        <v>277</v>
      </c>
      <c r="EK80" s="1" t="s">
        <v>277</v>
      </c>
      <c r="EL80" s="1" t="s">
        <v>277</v>
      </c>
      <c r="EM80" s="1" t="s">
        <v>277</v>
      </c>
      <c r="EN80" s="1" t="s">
        <v>277</v>
      </c>
      <c r="EO80" s="1" t="s">
        <v>277</v>
      </c>
      <c r="EP80" s="1" t="s">
        <v>277</v>
      </c>
      <c r="EQ80" s="1" t="s">
        <v>277</v>
      </c>
    </row>
    <row r="81" spans="1:147" ht="15" customHeight="1">
      <c r="A81" s="30" t="s">
        <v>254</v>
      </c>
      <c r="B81" s="1">
        <v>78</v>
      </c>
      <c r="C81" s="1">
        <v>63</v>
      </c>
      <c r="D81" s="10">
        <v>2013</v>
      </c>
      <c r="E81" t="s">
        <v>1462</v>
      </c>
      <c r="F81" t="s">
        <v>1462</v>
      </c>
      <c r="G81" s="16">
        <v>1</v>
      </c>
      <c r="H81" s="16">
        <v>1</v>
      </c>
      <c r="I81" s="16">
        <v>1</v>
      </c>
      <c r="J81" t="s">
        <v>1463</v>
      </c>
      <c r="K81" t="s">
        <v>1236</v>
      </c>
      <c r="L81" s="1" t="s">
        <v>1367</v>
      </c>
      <c r="M81" s="19" t="s">
        <v>1464</v>
      </c>
      <c r="N81" s="25">
        <v>33</v>
      </c>
      <c r="O81" t="s">
        <v>501</v>
      </c>
      <c r="P81" s="1" t="s">
        <v>502</v>
      </c>
      <c r="Q81" t="s">
        <v>1488</v>
      </c>
      <c r="R81" t="s">
        <v>1747</v>
      </c>
      <c r="S81" s="1" t="s">
        <v>263</v>
      </c>
      <c r="T81" s="1" t="s">
        <v>264</v>
      </c>
      <c r="U81" s="1" t="s">
        <v>265</v>
      </c>
      <c r="V81" s="1" t="s">
        <v>503</v>
      </c>
      <c r="W81" t="s">
        <v>267</v>
      </c>
      <c r="X81" s="10">
        <v>9.81</v>
      </c>
      <c r="Y81" s="10">
        <v>3.78</v>
      </c>
      <c r="Z81" s="10">
        <v>3.03</v>
      </c>
      <c r="AA81" s="10">
        <v>308</v>
      </c>
      <c r="AB81" s="1" t="s">
        <v>1091</v>
      </c>
      <c r="AC81" s="1">
        <v>2005</v>
      </c>
      <c r="AD81" s="1">
        <v>2006</v>
      </c>
      <c r="AE81" s="1">
        <v>20.8</v>
      </c>
      <c r="AF81" s="1" t="s">
        <v>269</v>
      </c>
      <c r="AG81" s="1" t="s">
        <v>270</v>
      </c>
      <c r="AH81" t="s">
        <v>1489</v>
      </c>
      <c r="AI81" s="1" t="s">
        <v>272</v>
      </c>
      <c r="AJ81" t="s">
        <v>1489</v>
      </c>
      <c r="AK81" s="1" t="s">
        <v>274</v>
      </c>
      <c r="AL81" t="s">
        <v>1490</v>
      </c>
      <c r="AM81" t="s">
        <v>375</v>
      </c>
      <c r="AN81" s="1" t="s">
        <v>277</v>
      </c>
      <c r="AO81" s="17">
        <v>1</v>
      </c>
      <c r="AP81" s="18">
        <v>1</v>
      </c>
      <c r="AQ81" s="18">
        <v>1634</v>
      </c>
      <c r="AR81" s="17">
        <v>380</v>
      </c>
      <c r="AS81" s="17">
        <v>7</v>
      </c>
      <c r="AT81" s="17">
        <f>535+163</f>
        <v>698</v>
      </c>
      <c r="AU81" s="17">
        <f>535+163</f>
        <v>698</v>
      </c>
      <c r="AV81" s="17">
        <f>535+163</f>
        <v>698</v>
      </c>
      <c r="AW81" t="s">
        <v>547</v>
      </c>
      <c r="AX81" t="s">
        <v>1491</v>
      </c>
      <c r="AY81" s="1" t="s">
        <v>330</v>
      </c>
      <c r="AZ81" t="s">
        <v>1492</v>
      </c>
      <c r="BA81" t="s">
        <v>1493</v>
      </c>
      <c r="BB81" t="s">
        <v>1494</v>
      </c>
      <c r="BC81" s="2" t="s">
        <v>285</v>
      </c>
      <c r="BD81" t="s">
        <v>1495</v>
      </c>
      <c r="BE81" s="24" t="s">
        <v>289</v>
      </c>
      <c r="BF81" t="s">
        <v>1496</v>
      </c>
      <c r="BG81" s="3" t="s">
        <v>553</v>
      </c>
      <c r="BH81" t="s">
        <v>1497</v>
      </c>
      <c r="BI81" s="2" t="s">
        <v>359</v>
      </c>
      <c r="BJ81" t="s">
        <v>1498</v>
      </c>
      <c r="BK81" s="23" t="s">
        <v>289</v>
      </c>
      <c r="BL81" t="s">
        <v>1499</v>
      </c>
      <c r="BM81" t="s">
        <v>284</v>
      </c>
      <c r="BN81" s="26" t="s">
        <v>277</v>
      </c>
      <c r="BO81" s="2" t="s">
        <v>386</v>
      </c>
      <c r="BP81" t="s">
        <v>1500</v>
      </c>
      <c r="BQ81" s="2" t="s">
        <v>318</v>
      </c>
      <c r="BR81" t="s">
        <v>1501</v>
      </c>
      <c r="BS81" s="2" t="s">
        <v>362</v>
      </c>
      <c r="BT81" s="2" t="s">
        <v>277</v>
      </c>
      <c r="BU81" t="s">
        <v>284</v>
      </c>
      <c r="BV81" s="2" t="s">
        <v>277</v>
      </c>
      <c r="BW81" s="1" t="s">
        <v>284</v>
      </c>
      <c r="BX81" s="1" t="s">
        <v>277</v>
      </c>
      <c r="BY81" t="s">
        <v>289</v>
      </c>
      <c r="BZ81" t="s">
        <v>1502</v>
      </c>
      <c r="CA81" s="2" t="s">
        <v>277</v>
      </c>
      <c r="CB81" t="s">
        <v>1503</v>
      </c>
      <c r="CC81" t="s">
        <v>1504</v>
      </c>
      <c r="CD81" s="49">
        <f>535/1254</f>
        <v>0.4266347687400319</v>
      </c>
      <c r="CE81" s="49">
        <f>163/380</f>
        <v>0.42894736842105263</v>
      </c>
      <c r="CF81" s="48">
        <f>CE81/(CE81+CD81)</f>
        <v>0.5013514773045018</v>
      </c>
      <c r="CG81" s="48">
        <f>IF(Data!$CB81="NA",".",Data!$CF81-(1-Data!$CF81))</f>
        <v>0.002702954609003605</v>
      </c>
      <c r="CH81" s="1" t="s">
        <v>277</v>
      </c>
      <c r="CI81" s="17">
        <v>0</v>
      </c>
      <c r="CJ81" s="17">
        <v>1</v>
      </c>
      <c r="CK81" s="17">
        <v>0</v>
      </c>
      <c r="CL81" s="10" t="s">
        <v>303</v>
      </c>
      <c r="CM81" s="10" t="s">
        <v>298</v>
      </c>
      <c r="CN81" s="10" t="s">
        <v>299</v>
      </c>
      <c r="CO81" s="10" t="s">
        <v>299</v>
      </c>
      <c r="CP81" s="10" t="s">
        <v>299</v>
      </c>
      <c r="CQ81" s="10" t="s">
        <v>299</v>
      </c>
      <c r="CR81" s="10" t="s">
        <v>299</v>
      </c>
      <c r="CS81" s="10" t="s">
        <v>298</v>
      </c>
      <c r="CT81" s="10" t="s">
        <v>298</v>
      </c>
      <c r="CU81" s="10" t="s">
        <v>298</v>
      </c>
      <c r="CV81" s="10" t="s">
        <v>298</v>
      </c>
      <c r="CW81" s="10" t="s">
        <v>298</v>
      </c>
      <c r="CX81" s="10" t="s">
        <v>298</v>
      </c>
      <c r="CY81" s="10" t="s">
        <v>298</v>
      </c>
      <c r="CZ81" s="10" t="s">
        <v>300</v>
      </c>
      <c r="DA81" s="10" t="s">
        <v>298</v>
      </c>
      <c r="DB81" s="10" t="s">
        <v>298</v>
      </c>
      <c r="DC81" s="10" t="s">
        <v>298</v>
      </c>
      <c r="DD81" s="10" t="s">
        <v>298</v>
      </c>
      <c r="DE81" s="10" t="s">
        <v>298</v>
      </c>
      <c r="DF81" s="10" t="s">
        <v>298</v>
      </c>
      <c r="DG81" s="10" t="s">
        <v>298</v>
      </c>
      <c r="DH81" s="10" t="s">
        <v>298</v>
      </c>
      <c r="DI81" s="10" t="s">
        <v>298</v>
      </c>
      <c r="DJ81" s="1" t="s">
        <v>277</v>
      </c>
      <c r="DK81" s="1" t="s">
        <v>277</v>
      </c>
      <c r="DL81" s="1" t="s">
        <v>278</v>
      </c>
      <c r="DM81" s="1" t="s">
        <v>278</v>
      </c>
      <c r="DN81" s="48" t="s">
        <v>278</v>
      </c>
      <c r="DO81" s="48" t="s">
        <v>278</v>
      </c>
      <c r="DP81" s="1" t="s">
        <v>277</v>
      </c>
      <c r="DQ81" s="17" t="s">
        <v>278</v>
      </c>
      <c r="DR81" s="17" t="s">
        <v>278</v>
      </c>
      <c r="DS81" s="17" t="s">
        <v>278</v>
      </c>
      <c r="DT81" s="1" t="s">
        <v>277</v>
      </c>
      <c r="DU81" s="1" t="s">
        <v>277</v>
      </c>
      <c r="DV81" s="1" t="s">
        <v>277</v>
      </c>
      <c r="DW81" s="1" t="s">
        <v>277</v>
      </c>
      <c r="DX81" s="1" t="s">
        <v>277</v>
      </c>
      <c r="DY81" s="1" t="s">
        <v>277</v>
      </c>
      <c r="DZ81" s="1" t="s">
        <v>277</v>
      </c>
      <c r="EA81" s="1" t="s">
        <v>277</v>
      </c>
      <c r="EB81" s="1" t="s">
        <v>277</v>
      </c>
      <c r="EC81" s="1" t="s">
        <v>277</v>
      </c>
      <c r="ED81" s="1" t="s">
        <v>277</v>
      </c>
      <c r="EE81" s="1" t="s">
        <v>277</v>
      </c>
      <c r="EF81" s="1" t="s">
        <v>277</v>
      </c>
      <c r="EG81" s="1" t="s">
        <v>277</v>
      </c>
      <c r="EH81" s="1" t="s">
        <v>277</v>
      </c>
      <c r="EI81" s="1" t="s">
        <v>277</v>
      </c>
      <c r="EJ81" s="1" t="s">
        <v>277</v>
      </c>
      <c r="EK81" s="1" t="s">
        <v>277</v>
      </c>
      <c r="EL81" s="1" t="s">
        <v>277</v>
      </c>
      <c r="EM81" s="1" t="s">
        <v>277</v>
      </c>
      <c r="EN81" s="1" t="s">
        <v>277</v>
      </c>
      <c r="EO81" s="1" t="s">
        <v>277</v>
      </c>
      <c r="EP81" s="1" t="s">
        <v>277</v>
      </c>
      <c r="EQ81" s="1" t="s">
        <v>277</v>
      </c>
    </row>
    <row r="82" spans="1:147" ht="15" customHeight="1">
      <c r="A82" s="30" t="s">
        <v>254</v>
      </c>
      <c r="B82" s="1">
        <v>79</v>
      </c>
      <c r="C82" s="30">
        <v>64</v>
      </c>
      <c r="D82" s="10">
        <v>2011</v>
      </c>
      <c r="E82" s="29" t="s">
        <v>1505</v>
      </c>
      <c r="F82" s="29" t="s">
        <v>1505</v>
      </c>
      <c r="G82" s="16">
        <v>0</v>
      </c>
      <c r="H82" s="16">
        <v>1</v>
      </c>
      <c r="I82" s="16">
        <v>0</v>
      </c>
      <c r="J82" s="29" t="s">
        <v>1506</v>
      </c>
      <c r="K82" t="s">
        <v>428</v>
      </c>
      <c r="L82" s="1" t="s">
        <v>258</v>
      </c>
      <c r="M82" s="19" t="s">
        <v>1507</v>
      </c>
      <c r="N82" s="25">
        <v>147</v>
      </c>
      <c r="O82" t="s">
        <v>260</v>
      </c>
      <c r="P82" s="1" t="s">
        <v>261</v>
      </c>
      <c r="Q82" s="29" t="s">
        <v>262</v>
      </c>
      <c r="R82" s="29"/>
      <c r="S82" s="1" t="s">
        <v>263</v>
      </c>
      <c r="T82" s="1" t="s">
        <v>264</v>
      </c>
      <c r="U82" s="1" t="s">
        <v>265</v>
      </c>
      <c r="V82" s="1" t="s">
        <v>266</v>
      </c>
      <c r="W82" t="s">
        <v>267</v>
      </c>
      <c r="X82" s="10">
        <v>1.57</v>
      </c>
      <c r="Y82" s="10">
        <v>2.1</v>
      </c>
      <c r="Z82" s="10">
        <v>1.99</v>
      </c>
      <c r="AA82" s="10">
        <v>435</v>
      </c>
      <c r="AB82" s="10">
        <v>2006</v>
      </c>
      <c r="AC82" s="10">
        <v>2006</v>
      </c>
      <c r="AD82" s="10">
        <v>2006</v>
      </c>
      <c r="AE82" s="1">
        <v>16.3</v>
      </c>
      <c r="AF82" s="1" t="s">
        <v>269</v>
      </c>
      <c r="AG82" s="1" t="s">
        <v>270</v>
      </c>
      <c r="AH82" s="29" t="s">
        <v>1508</v>
      </c>
      <c r="AI82" s="1" t="s">
        <v>272</v>
      </c>
      <c r="AJ82" s="29" t="s">
        <v>1509</v>
      </c>
      <c r="AK82" s="29" t="s">
        <v>274</v>
      </c>
      <c r="AL82" s="29" t="s">
        <v>1510</v>
      </c>
      <c r="AM82" t="s">
        <v>375</v>
      </c>
      <c r="AN82" s="1" t="s">
        <v>277</v>
      </c>
      <c r="AO82" s="17">
        <v>1</v>
      </c>
      <c r="AP82" s="17">
        <v>30</v>
      </c>
      <c r="AQ82" s="17">
        <v>60</v>
      </c>
      <c r="AR82" s="17">
        <v>12</v>
      </c>
      <c r="AS82" s="17" t="s">
        <v>278</v>
      </c>
      <c r="AT82" s="17">
        <v>1345</v>
      </c>
      <c r="AU82" s="17">
        <v>1345</v>
      </c>
      <c r="AV82" s="17">
        <f>502+46+466+129</f>
        <v>1143</v>
      </c>
      <c r="AW82" s="29" t="s">
        <v>1511</v>
      </c>
      <c r="AX82" s="29" t="s">
        <v>1512</v>
      </c>
      <c r="AY82" s="1" t="s">
        <v>284</v>
      </c>
      <c r="AZ82" s="29" t="s">
        <v>277</v>
      </c>
      <c r="BA82" t="s">
        <v>284</v>
      </c>
      <c r="BB82" t="s">
        <v>277</v>
      </c>
      <c r="BC82" s="2" t="s">
        <v>284</v>
      </c>
      <c r="BD82" t="s">
        <v>277</v>
      </c>
      <c r="BE82" t="s">
        <v>284</v>
      </c>
      <c r="BF82" s="2" t="s">
        <v>277</v>
      </c>
      <c r="BG82" t="s">
        <v>284</v>
      </c>
      <c r="BH82" s="2" t="s">
        <v>277</v>
      </c>
      <c r="BI82" t="s">
        <v>284</v>
      </c>
      <c r="BJ82" s="2" t="s">
        <v>277</v>
      </c>
      <c r="BK82" t="s">
        <v>284</v>
      </c>
      <c r="BL82" t="s">
        <v>277</v>
      </c>
      <c r="BM82" t="s">
        <v>284</v>
      </c>
      <c r="BN82" s="26" t="s">
        <v>277</v>
      </c>
      <c r="BO82" s="2" t="s">
        <v>284</v>
      </c>
      <c r="BP82" s="2" t="s">
        <v>277</v>
      </c>
      <c r="BQ82" s="2" t="s">
        <v>362</v>
      </c>
      <c r="BR82" s="26" t="s">
        <v>277</v>
      </c>
      <c r="BS82" s="2" t="s">
        <v>336</v>
      </c>
      <c r="BT82" t="s">
        <v>1513</v>
      </c>
      <c r="BU82" t="s">
        <v>284</v>
      </c>
      <c r="BV82" t="s">
        <v>277</v>
      </c>
      <c r="BW82" s="1" t="s">
        <v>958</v>
      </c>
      <c r="BX82" s="2" t="s">
        <v>1514</v>
      </c>
      <c r="BY82" t="s">
        <v>284</v>
      </c>
      <c r="BZ82" s="2" t="s">
        <v>277</v>
      </c>
      <c r="CA82" s="2" t="s">
        <v>277</v>
      </c>
      <c r="CB82" s="1" t="s">
        <v>277</v>
      </c>
      <c r="CC82" s="1" t="s">
        <v>277</v>
      </c>
      <c r="CD82" s="5" t="s">
        <v>278</v>
      </c>
      <c r="CE82" s="5" t="s">
        <v>278</v>
      </c>
      <c r="CF82" s="5" t="s">
        <v>278</v>
      </c>
      <c r="CG82" s="48" t="str">
        <f>IF(Data!$CB82="NA",".",Data!$CF82-(1-Data!$CF82))</f>
        <v>.</v>
      </c>
      <c r="CH82" s="1" t="s">
        <v>277</v>
      </c>
      <c r="CI82" s="17" t="s">
        <v>278</v>
      </c>
      <c r="CJ82" s="17" t="s">
        <v>278</v>
      </c>
      <c r="CK82" s="17" t="s">
        <v>278</v>
      </c>
      <c r="CL82" s="1" t="s">
        <v>277</v>
      </c>
      <c r="CM82" s="1" t="s">
        <v>277</v>
      </c>
      <c r="CN82" s="1" t="s">
        <v>277</v>
      </c>
      <c r="CO82" s="1" t="s">
        <v>277</v>
      </c>
      <c r="CP82" s="1" t="s">
        <v>277</v>
      </c>
      <c r="CQ82" s="1" t="s">
        <v>277</v>
      </c>
      <c r="CR82" s="1" t="s">
        <v>277</v>
      </c>
      <c r="CS82" s="1" t="s">
        <v>277</v>
      </c>
      <c r="CT82" s="1" t="s">
        <v>277</v>
      </c>
      <c r="CU82" s="1" t="s">
        <v>277</v>
      </c>
      <c r="CV82" s="1" t="s">
        <v>277</v>
      </c>
      <c r="CW82" s="1" t="s">
        <v>277</v>
      </c>
      <c r="CX82" s="1" t="s">
        <v>277</v>
      </c>
      <c r="CY82" s="1" t="s">
        <v>277</v>
      </c>
      <c r="CZ82" s="1" t="s">
        <v>277</v>
      </c>
      <c r="DA82" s="1" t="s">
        <v>277</v>
      </c>
      <c r="DB82" s="1" t="s">
        <v>277</v>
      </c>
      <c r="DC82" s="1" t="s">
        <v>277</v>
      </c>
      <c r="DD82" s="1" t="s">
        <v>277</v>
      </c>
      <c r="DE82" s="1" t="s">
        <v>277</v>
      </c>
      <c r="DF82" s="1" t="s">
        <v>277</v>
      </c>
      <c r="DG82" s="1" t="s">
        <v>277</v>
      </c>
      <c r="DH82" s="1" t="s">
        <v>277</v>
      </c>
      <c r="DI82" s="1" t="s">
        <v>277</v>
      </c>
      <c r="DJ82" s="1" t="s">
        <v>277</v>
      </c>
      <c r="DK82" s="1" t="s">
        <v>277</v>
      </c>
      <c r="DL82" s="1"/>
      <c r="DM82" s="1"/>
      <c r="DN82" s="5" t="s">
        <v>278</v>
      </c>
      <c r="DO82" s="48" t="str">
        <f>IF(Data!$CB82="NA",".",Data!$DN82-(1-Data!$DN82))</f>
        <v>.</v>
      </c>
      <c r="DP82" s="1" t="s">
        <v>277</v>
      </c>
      <c r="DQ82" s="17" t="s">
        <v>278</v>
      </c>
      <c r="DR82" s="17" t="s">
        <v>278</v>
      </c>
      <c r="DS82" s="17" t="s">
        <v>278</v>
      </c>
      <c r="DT82" s="1" t="s">
        <v>277</v>
      </c>
      <c r="DU82" s="1" t="s">
        <v>277</v>
      </c>
      <c r="DV82" s="1" t="s">
        <v>277</v>
      </c>
      <c r="DW82" s="1" t="s">
        <v>277</v>
      </c>
      <c r="DX82" s="1" t="s">
        <v>277</v>
      </c>
      <c r="DY82" s="1" t="s">
        <v>277</v>
      </c>
      <c r="DZ82" s="1" t="s">
        <v>277</v>
      </c>
      <c r="EA82" s="1" t="s">
        <v>277</v>
      </c>
      <c r="EB82" s="1" t="s">
        <v>277</v>
      </c>
      <c r="EC82" s="1" t="s">
        <v>277</v>
      </c>
      <c r="ED82" s="1" t="s">
        <v>277</v>
      </c>
      <c r="EE82" s="1" t="s">
        <v>277</v>
      </c>
      <c r="EF82" s="1" t="s">
        <v>277</v>
      </c>
      <c r="EG82" s="1" t="s">
        <v>277</v>
      </c>
      <c r="EH82" s="1" t="s">
        <v>277</v>
      </c>
      <c r="EI82" s="1" t="s">
        <v>277</v>
      </c>
      <c r="EJ82" s="1" t="s">
        <v>277</v>
      </c>
      <c r="EK82" s="1" t="s">
        <v>277</v>
      </c>
      <c r="EL82" s="1" t="s">
        <v>277</v>
      </c>
      <c r="EM82" s="1" t="s">
        <v>277</v>
      </c>
      <c r="EN82" s="1" t="s">
        <v>277</v>
      </c>
      <c r="EO82" s="1" t="s">
        <v>277</v>
      </c>
      <c r="EP82" s="1" t="s">
        <v>277</v>
      </c>
      <c r="EQ82" s="1" t="s">
        <v>277</v>
      </c>
    </row>
    <row r="83" spans="1:147" ht="15" customHeight="1">
      <c r="A83" s="30" t="s">
        <v>254</v>
      </c>
      <c r="B83" s="1">
        <v>80</v>
      </c>
      <c r="C83" s="30">
        <v>65</v>
      </c>
      <c r="D83" s="10">
        <v>2007</v>
      </c>
      <c r="E83" t="s">
        <v>1515</v>
      </c>
      <c r="F83" t="s">
        <v>1516</v>
      </c>
      <c r="G83" s="16">
        <v>2</v>
      </c>
      <c r="H83" s="16">
        <v>3</v>
      </c>
      <c r="I83" s="16">
        <v>1</v>
      </c>
      <c r="J83" t="s">
        <v>1517</v>
      </c>
      <c r="K83" s="29" t="s">
        <v>1518</v>
      </c>
      <c r="L83" s="1" t="s">
        <v>1519</v>
      </c>
      <c r="M83" t="s">
        <v>1520</v>
      </c>
      <c r="N83" s="31">
        <v>5</v>
      </c>
      <c r="O83" t="s">
        <v>430</v>
      </c>
      <c r="P83" s="1" t="s">
        <v>431</v>
      </c>
      <c r="Q83" t="s">
        <v>1521</v>
      </c>
      <c r="R83" t="s">
        <v>1732</v>
      </c>
      <c r="S83" s="1" t="s">
        <v>263</v>
      </c>
      <c r="T83" s="1" t="s">
        <v>433</v>
      </c>
      <c r="U83" s="1" t="s">
        <v>265</v>
      </c>
      <c r="V83" t="s">
        <v>434</v>
      </c>
      <c r="W83" t="s">
        <v>435</v>
      </c>
      <c r="X83" s="10" t="s">
        <v>278</v>
      </c>
      <c r="Y83" s="10" t="s">
        <v>278</v>
      </c>
      <c r="Z83" s="10" t="s">
        <v>278</v>
      </c>
      <c r="AA83" s="10" t="s">
        <v>278</v>
      </c>
      <c r="AB83" s="10">
        <v>2004</v>
      </c>
      <c r="AC83" s="10">
        <v>2004</v>
      </c>
      <c r="AD83" s="10">
        <v>2004</v>
      </c>
      <c r="AE83" s="1">
        <v>17.7</v>
      </c>
      <c r="AF83" s="1" t="s">
        <v>269</v>
      </c>
      <c r="AG83" s="1" t="s">
        <v>270</v>
      </c>
      <c r="AH83" s="12" t="s">
        <v>1522</v>
      </c>
      <c r="AI83" s="1" t="s">
        <v>437</v>
      </c>
      <c r="AJ83" t="s">
        <v>1523</v>
      </c>
      <c r="AK83" t="s">
        <v>439</v>
      </c>
      <c r="AL83" t="s">
        <v>490</v>
      </c>
      <c r="AM83" t="s">
        <v>375</v>
      </c>
      <c r="AN83" s="10" t="s">
        <v>277</v>
      </c>
      <c r="AO83" s="17">
        <v>25</v>
      </c>
      <c r="AP83" s="17">
        <v>25</v>
      </c>
      <c r="AQ83" s="17" t="s">
        <v>1524</v>
      </c>
      <c r="AR83" s="17" t="s">
        <v>1525</v>
      </c>
      <c r="AS83" s="17">
        <f>75+48</f>
        <v>123</v>
      </c>
      <c r="AT83" s="17">
        <v>45651</v>
      </c>
      <c r="AU83" s="17">
        <v>45651</v>
      </c>
      <c r="AV83" s="17">
        <v>25</v>
      </c>
      <c r="AW83" t="s">
        <v>1055</v>
      </c>
      <c r="AX83" t="s">
        <v>1526</v>
      </c>
      <c r="AY83" s="1" t="s">
        <v>282</v>
      </c>
      <c r="AZ83" t="s">
        <v>1527</v>
      </c>
      <c r="BA83" t="s">
        <v>284</v>
      </c>
      <c r="BB83" s="2" t="s">
        <v>277</v>
      </c>
      <c r="BC83" s="2" t="s">
        <v>284</v>
      </c>
      <c r="BD83" s="2" t="s">
        <v>277</v>
      </c>
      <c r="BE83" t="s">
        <v>284</v>
      </c>
      <c r="BF83" s="2" t="s">
        <v>277</v>
      </c>
      <c r="BG83" t="s">
        <v>284</v>
      </c>
      <c r="BH83" t="s">
        <v>277</v>
      </c>
      <c r="BI83" s="2" t="s">
        <v>284</v>
      </c>
      <c r="BJ83" t="s">
        <v>277</v>
      </c>
      <c r="BK83" t="s">
        <v>284</v>
      </c>
      <c r="BL83" t="s">
        <v>277</v>
      </c>
      <c r="BM83" t="s">
        <v>284</v>
      </c>
      <c r="BN83" t="s">
        <v>277</v>
      </c>
      <c r="BO83" s="1" t="s">
        <v>284</v>
      </c>
      <c r="BP83" t="s">
        <v>277</v>
      </c>
      <c r="BQ83" s="2" t="s">
        <v>362</v>
      </c>
      <c r="BR83" t="s">
        <v>277</v>
      </c>
      <c r="BS83" s="2" t="s">
        <v>362</v>
      </c>
      <c r="BT83" s="2" t="s">
        <v>277</v>
      </c>
      <c r="BU83" t="s">
        <v>284</v>
      </c>
      <c r="BV83" s="2" t="s">
        <v>277</v>
      </c>
      <c r="BW83" t="s">
        <v>284</v>
      </c>
      <c r="BX83" s="2" t="s">
        <v>277</v>
      </c>
      <c r="BY83" t="s">
        <v>284</v>
      </c>
      <c r="BZ83" s="2" t="s">
        <v>277</v>
      </c>
      <c r="CA83" s="2" t="s">
        <v>277</v>
      </c>
      <c r="CB83" t="s">
        <v>1528</v>
      </c>
      <c r="CC83" s="12" t="s">
        <v>1529</v>
      </c>
      <c r="CD83" s="49">
        <v>1.1192697362834307</v>
      </c>
      <c r="CE83" s="49">
        <v>0.7538747820247464</v>
      </c>
      <c r="CF83" s="48">
        <f>CE83/(CE83+CD83)</f>
        <v>0.40246482567487407</v>
      </c>
      <c r="CG83" s="48">
        <f>IF(Data!$CB83="NA",".",Data!$CF83-(1-Data!$CF83))</f>
        <v>-0.19507034865025186</v>
      </c>
      <c r="CH83" s="1" t="s">
        <v>277</v>
      </c>
      <c r="CI83" s="17">
        <v>0</v>
      </c>
      <c r="CJ83" s="17">
        <v>1</v>
      </c>
      <c r="CK83" s="17">
        <v>0</v>
      </c>
      <c r="CL83" s="10" t="s">
        <v>303</v>
      </c>
      <c r="CM83" s="10" t="s">
        <v>298</v>
      </c>
      <c r="CN83" s="10" t="s">
        <v>298</v>
      </c>
      <c r="CO83" s="10" t="s">
        <v>299</v>
      </c>
      <c r="CP83" s="10" t="s">
        <v>299</v>
      </c>
      <c r="CQ83" s="10" t="s">
        <v>298</v>
      </c>
      <c r="CR83" s="10" t="s">
        <v>298</v>
      </c>
      <c r="CS83" s="10" t="s">
        <v>298</v>
      </c>
      <c r="CT83" s="10" t="s">
        <v>298</v>
      </c>
      <c r="CU83" s="10" t="s">
        <v>298</v>
      </c>
      <c r="CV83" s="10" t="s">
        <v>298</v>
      </c>
      <c r="CW83" s="10" t="s">
        <v>298</v>
      </c>
      <c r="CX83" s="10" t="s">
        <v>298</v>
      </c>
      <c r="CY83" s="10" t="s">
        <v>298</v>
      </c>
      <c r="CZ83" s="10" t="s">
        <v>298</v>
      </c>
      <c r="DA83" s="10" t="s">
        <v>298</v>
      </c>
      <c r="DB83" s="10" t="s">
        <v>298</v>
      </c>
      <c r="DC83" s="10" t="s">
        <v>298</v>
      </c>
      <c r="DD83" s="10" t="s">
        <v>298</v>
      </c>
      <c r="DE83" s="10" t="s">
        <v>299</v>
      </c>
      <c r="DF83" s="10" t="s">
        <v>298</v>
      </c>
      <c r="DG83" s="10" t="s">
        <v>298</v>
      </c>
      <c r="DH83" s="10" t="s">
        <v>298</v>
      </c>
      <c r="DI83" s="10" t="s">
        <v>298</v>
      </c>
      <c r="DJ83" s="1" t="s">
        <v>277</v>
      </c>
      <c r="DK83" s="1" t="s">
        <v>277</v>
      </c>
      <c r="DL83" s="1" t="s">
        <v>278</v>
      </c>
      <c r="DM83" s="1" t="s">
        <v>278</v>
      </c>
      <c r="DN83" s="48" t="s">
        <v>278</v>
      </c>
      <c r="DO83" s="48" t="s">
        <v>278</v>
      </c>
      <c r="DP83" s="1" t="s">
        <v>277</v>
      </c>
      <c r="DQ83" s="17" t="s">
        <v>278</v>
      </c>
      <c r="DR83" s="17" t="s">
        <v>278</v>
      </c>
      <c r="DS83" s="17" t="s">
        <v>278</v>
      </c>
      <c r="DT83" s="1" t="s">
        <v>277</v>
      </c>
      <c r="DU83" s="1" t="s">
        <v>277</v>
      </c>
      <c r="DV83" s="1" t="s">
        <v>277</v>
      </c>
      <c r="DW83" s="1" t="s">
        <v>277</v>
      </c>
      <c r="DX83" s="1" t="s">
        <v>277</v>
      </c>
      <c r="DY83" s="1" t="s">
        <v>277</v>
      </c>
      <c r="DZ83" s="1" t="s">
        <v>277</v>
      </c>
      <c r="EA83" s="1" t="s">
        <v>277</v>
      </c>
      <c r="EB83" s="1" t="s">
        <v>277</v>
      </c>
      <c r="EC83" s="1" t="s">
        <v>277</v>
      </c>
      <c r="ED83" s="1" t="s">
        <v>277</v>
      </c>
      <c r="EE83" s="1" t="s">
        <v>277</v>
      </c>
      <c r="EF83" s="1" t="s">
        <v>277</v>
      </c>
      <c r="EG83" s="1" t="s">
        <v>277</v>
      </c>
      <c r="EH83" s="1" t="s">
        <v>277</v>
      </c>
      <c r="EI83" s="1" t="s">
        <v>277</v>
      </c>
      <c r="EJ83" s="1" t="s">
        <v>277</v>
      </c>
      <c r="EK83" s="1" t="s">
        <v>277</v>
      </c>
      <c r="EL83" s="1" t="s">
        <v>277</v>
      </c>
      <c r="EM83" s="1" t="s">
        <v>277</v>
      </c>
      <c r="EN83" s="1" t="s">
        <v>277</v>
      </c>
      <c r="EO83" s="1" t="s">
        <v>277</v>
      </c>
      <c r="EP83" s="1" t="s">
        <v>277</v>
      </c>
      <c r="EQ83" s="1" t="s">
        <v>277</v>
      </c>
    </row>
    <row r="84" spans="1:147" ht="15" customHeight="1">
      <c r="A84" s="30" t="s">
        <v>254</v>
      </c>
      <c r="B84" s="1">
        <v>81</v>
      </c>
      <c r="C84" s="30">
        <v>66</v>
      </c>
      <c r="D84" s="10">
        <v>2014</v>
      </c>
      <c r="E84" t="s">
        <v>1530</v>
      </c>
      <c r="F84" t="s">
        <v>1530</v>
      </c>
      <c r="G84" s="16">
        <v>1</v>
      </c>
      <c r="H84" s="16">
        <v>2</v>
      </c>
      <c r="I84" s="16">
        <v>1</v>
      </c>
      <c r="J84" t="s">
        <v>1531</v>
      </c>
      <c r="K84" t="s">
        <v>1236</v>
      </c>
      <c r="L84" s="1" t="s">
        <v>1367</v>
      </c>
      <c r="M84" t="s">
        <v>1532</v>
      </c>
      <c r="N84" s="31">
        <v>33</v>
      </c>
      <c r="O84" t="s">
        <v>260</v>
      </c>
      <c r="P84" s="1" t="s">
        <v>261</v>
      </c>
      <c r="Q84" t="s">
        <v>262</v>
      </c>
      <c r="R84" t="s">
        <v>1730</v>
      </c>
      <c r="S84" s="1" t="s">
        <v>263</v>
      </c>
      <c r="T84" s="1" t="s">
        <v>264</v>
      </c>
      <c r="U84" s="1" t="s">
        <v>265</v>
      </c>
      <c r="V84" s="1" t="s">
        <v>266</v>
      </c>
      <c r="W84" t="s">
        <v>267</v>
      </c>
      <c r="X84" s="10">
        <v>1.57</v>
      </c>
      <c r="Y84" s="10">
        <v>2.1</v>
      </c>
      <c r="Z84" s="10">
        <v>1.99</v>
      </c>
      <c r="AA84" s="10">
        <v>435</v>
      </c>
      <c r="AB84" s="10">
        <v>2006</v>
      </c>
      <c r="AC84" s="10">
        <v>2006</v>
      </c>
      <c r="AD84" s="10">
        <v>2006</v>
      </c>
      <c r="AE84" s="1">
        <v>16.3</v>
      </c>
      <c r="AF84" s="1" t="s">
        <v>439</v>
      </c>
      <c r="AG84" s="1" t="s">
        <v>270</v>
      </c>
      <c r="AH84" t="s">
        <v>1533</v>
      </c>
      <c r="AI84" s="1" t="s">
        <v>272</v>
      </c>
      <c r="AJ84" t="s">
        <v>1534</v>
      </c>
      <c r="AK84" s="1" t="s">
        <v>274</v>
      </c>
      <c r="AL84" t="s">
        <v>1535</v>
      </c>
      <c r="AM84" s="1" t="s">
        <v>313</v>
      </c>
      <c r="AN84" s="10" t="s">
        <v>277</v>
      </c>
      <c r="AO84" s="17">
        <v>1</v>
      </c>
      <c r="AP84" s="17" t="s">
        <v>278</v>
      </c>
      <c r="AQ84" s="17">
        <v>32</v>
      </c>
      <c r="AR84" s="17">
        <v>14</v>
      </c>
      <c r="AS84" s="17" t="s">
        <v>1536</v>
      </c>
      <c r="AT84" s="17">
        <v>3822</v>
      </c>
      <c r="AU84" s="17">
        <v>3822</v>
      </c>
      <c r="AV84" s="17">
        <v>3822</v>
      </c>
      <c r="AW84" t="s">
        <v>547</v>
      </c>
      <c r="AX84" t="s">
        <v>547</v>
      </c>
      <c r="AY84" t="s">
        <v>282</v>
      </c>
      <c r="AZ84" t="s">
        <v>1537</v>
      </c>
      <c r="BA84" t="s">
        <v>990</v>
      </c>
      <c r="BB84" t="s">
        <v>1538</v>
      </c>
      <c r="BC84" s="2" t="s">
        <v>284</v>
      </c>
      <c r="BD84" s="2" t="s">
        <v>277</v>
      </c>
      <c r="BE84" t="s">
        <v>284</v>
      </c>
      <c r="BF84" s="2" t="s">
        <v>277</v>
      </c>
      <c r="BG84" t="s">
        <v>284</v>
      </c>
      <c r="BH84" t="s">
        <v>277</v>
      </c>
      <c r="BI84" s="2" t="s">
        <v>284</v>
      </c>
      <c r="BJ84" t="s">
        <v>277</v>
      </c>
      <c r="BK84" t="s">
        <v>284</v>
      </c>
      <c r="BL84" t="s">
        <v>277</v>
      </c>
      <c r="BM84" t="s">
        <v>289</v>
      </c>
      <c r="BN84" t="s">
        <v>1539</v>
      </c>
      <c r="BO84" s="2" t="s">
        <v>386</v>
      </c>
      <c r="BP84" s="29" t="s">
        <v>1540</v>
      </c>
      <c r="BQ84" s="2" t="s">
        <v>1541</v>
      </c>
      <c r="BR84" t="s">
        <v>1542</v>
      </c>
      <c r="BS84" s="2" t="s">
        <v>1543</v>
      </c>
      <c r="BT84" t="s">
        <v>1544</v>
      </c>
      <c r="BU84" t="s">
        <v>284</v>
      </c>
      <c r="BV84" t="s">
        <v>277</v>
      </c>
      <c r="BW84" t="s">
        <v>284</v>
      </c>
      <c r="BX84" t="s">
        <v>277</v>
      </c>
      <c r="BY84" t="s">
        <v>388</v>
      </c>
      <c r="BZ84" t="s">
        <v>1545</v>
      </c>
      <c r="CA84" s="29" t="s">
        <v>1546</v>
      </c>
      <c r="CB84" t="s">
        <v>1547</v>
      </c>
      <c r="CC84" s="22" t="s">
        <v>1548</v>
      </c>
      <c r="CD84" s="49">
        <v>16</v>
      </c>
      <c r="CE84" s="49">
        <v>13</v>
      </c>
      <c r="CF84" s="48">
        <f>CE84/(CE84+CD84)</f>
        <v>0.4482758620689655</v>
      </c>
      <c r="CG84" s="48">
        <f>IF(Data!$CB84="NA",".",Data!$CF84-(1-Data!$CF84))</f>
        <v>-0.10344827586206895</v>
      </c>
      <c r="CH84" s="1" t="s">
        <v>277</v>
      </c>
      <c r="CI84" s="17">
        <v>0</v>
      </c>
      <c r="CJ84" s="17">
        <v>0</v>
      </c>
      <c r="CK84" s="17">
        <v>0</v>
      </c>
      <c r="CL84" s="10" t="s">
        <v>303</v>
      </c>
      <c r="CM84" s="10" t="s">
        <v>299</v>
      </c>
      <c r="CN84" s="10" t="s">
        <v>299</v>
      </c>
      <c r="CO84" s="10" t="s">
        <v>299</v>
      </c>
      <c r="CP84" s="10" t="s">
        <v>299</v>
      </c>
      <c r="CQ84" s="10" t="s">
        <v>299</v>
      </c>
      <c r="CR84" s="10" t="s">
        <v>299</v>
      </c>
      <c r="CS84" s="10" t="s">
        <v>298</v>
      </c>
      <c r="CT84" s="10" t="s">
        <v>538</v>
      </c>
      <c r="CU84" s="10" t="s">
        <v>298</v>
      </c>
      <c r="CV84" s="10" t="s">
        <v>298</v>
      </c>
      <c r="CW84" s="10" t="s">
        <v>298</v>
      </c>
      <c r="CX84" s="10" t="s">
        <v>298</v>
      </c>
      <c r="CY84" s="10" t="s">
        <v>298</v>
      </c>
      <c r="CZ84" s="10" t="s">
        <v>300</v>
      </c>
      <c r="DA84" s="10" t="s">
        <v>299</v>
      </c>
      <c r="DB84" s="10" t="s">
        <v>298</v>
      </c>
      <c r="DC84" s="10" t="s">
        <v>298</v>
      </c>
      <c r="DD84" s="10" t="s">
        <v>298</v>
      </c>
      <c r="DE84" s="10" t="s">
        <v>298</v>
      </c>
      <c r="DF84" s="10" t="s">
        <v>298</v>
      </c>
      <c r="DG84" s="10" t="s">
        <v>298</v>
      </c>
      <c r="DH84" s="10" t="s">
        <v>298</v>
      </c>
      <c r="DI84" s="10" t="s">
        <v>298</v>
      </c>
      <c r="DJ84" t="s">
        <v>1549</v>
      </c>
      <c r="DK84" t="s">
        <v>1550</v>
      </c>
      <c r="DL84" s="49">
        <v>1</v>
      </c>
      <c r="DM84" s="49">
        <f>AVERAGE(EXP(-0.36),EXP(-0.02))</f>
        <v>0.8389374996888932</v>
      </c>
      <c r="DN84" s="48">
        <f>DM84/(DM84+DL84)</f>
        <v>0.45620772855565916</v>
      </c>
      <c r="DO84" s="48">
        <f>DN84-(1-DN84)</f>
        <v>-0.08758454288868167</v>
      </c>
      <c r="DP84" s="1" t="s">
        <v>277</v>
      </c>
      <c r="DQ84" s="17">
        <v>0</v>
      </c>
      <c r="DR84" s="17">
        <v>1</v>
      </c>
      <c r="DS84" s="17">
        <v>0</v>
      </c>
      <c r="DT84" s="10" t="s">
        <v>303</v>
      </c>
      <c r="DU84" s="10" t="s">
        <v>450</v>
      </c>
      <c r="DV84" s="10" t="s">
        <v>299</v>
      </c>
      <c r="DW84" s="10" t="s">
        <v>299</v>
      </c>
      <c r="DX84" s="10" t="s">
        <v>299</v>
      </c>
      <c r="DY84" s="10" t="s">
        <v>299</v>
      </c>
      <c r="DZ84" s="10" t="s">
        <v>299</v>
      </c>
      <c r="EA84" s="10" t="s">
        <v>450</v>
      </c>
      <c r="EB84" s="10" t="s">
        <v>538</v>
      </c>
      <c r="EC84" s="10" t="s">
        <v>298</v>
      </c>
      <c r="ED84" s="10" t="s">
        <v>298</v>
      </c>
      <c r="EE84" s="10" t="s">
        <v>450</v>
      </c>
      <c r="EF84" s="10" t="s">
        <v>450</v>
      </c>
      <c r="EG84" s="10" t="s">
        <v>298</v>
      </c>
      <c r="EH84" s="10" t="s">
        <v>300</v>
      </c>
      <c r="EI84" s="10" t="s">
        <v>450</v>
      </c>
      <c r="EJ84" s="10" t="s">
        <v>298</v>
      </c>
      <c r="EK84" s="10" t="s">
        <v>298</v>
      </c>
      <c r="EL84" s="10" t="s">
        <v>298</v>
      </c>
      <c r="EM84" s="10" t="s">
        <v>298</v>
      </c>
      <c r="EN84" s="10" t="s">
        <v>298</v>
      </c>
      <c r="EO84" s="10" t="s">
        <v>298</v>
      </c>
      <c r="EP84" s="10" t="s">
        <v>450</v>
      </c>
      <c r="EQ84" s="10" t="s">
        <v>298</v>
      </c>
    </row>
    <row r="85" spans="1:147" ht="15" customHeight="1">
      <c r="A85" s="30" t="s">
        <v>254</v>
      </c>
      <c r="B85" s="1">
        <v>82</v>
      </c>
      <c r="C85" s="30">
        <v>66</v>
      </c>
      <c r="D85" s="10">
        <v>2014</v>
      </c>
      <c r="E85" t="s">
        <v>1530</v>
      </c>
      <c r="F85" t="s">
        <v>1530</v>
      </c>
      <c r="G85" s="16">
        <v>1</v>
      </c>
      <c r="H85" s="16">
        <v>2</v>
      </c>
      <c r="I85" s="16">
        <v>1</v>
      </c>
      <c r="J85" t="s">
        <v>1531</v>
      </c>
      <c r="K85" t="s">
        <v>1236</v>
      </c>
      <c r="L85" s="1" t="s">
        <v>1367</v>
      </c>
      <c r="M85" t="s">
        <v>1551</v>
      </c>
      <c r="N85" s="31">
        <v>33</v>
      </c>
      <c r="O85" t="s">
        <v>260</v>
      </c>
      <c r="P85" s="1" t="s">
        <v>261</v>
      </c>
      <c r="Q85" t="s">
        <v>262</v>
      </c>
      <c r="S85" s="1" t="s">
        <v>263</v>
      </c>
      <c r="T85" s="1" t="s">
        <v>264</v>
      </c>
      <c r="U85" s="1" t="s">
        <v>265</v>
      </c>
      <c r="V85" s="1" t="s">
        <v>266</v>
      </c>
      <c r="W85" t="s">
        <v>267</v>
      </c>
      <c r="X85" s="10">
        <v>1.57</v>
      </c>
      <c r="Y85" s="10">
        <v>2.1</v>
      </c>
      <c r="Z85" s="10">
        <v>1.99</v>
      </c>
      <c r="AA85" s="10">
        <v>435</v>
      </c>
      <c r="AB85" s="10">
        <v>2006</v>
      </c>
      <c r="AC85" s="10">
        <v>2006</v>
      </c>
      <c r="AD85" s="10">
        <v>2006</v>
      </c>
      <c r="AE85" s="1">
        <v>16.3</v>
      </c>
      <c r="AF85" s="1" t="s">
        <v>269</v>
      </c>
      <c r="AG85" s="1" t="s">
        <v>270</v>
      </c>
      <c r="AH85" t="s">
        <v>1533</v>
      </c>
      <c r="AI85" s="1" t="s">
        <v>272</v>
      </c>
      <c r="AJ85" t="s">
        <v>1534</v>
      </c>
      <c r="AK85" s="29" t="s">
        <v>274</v>
      </c>
      <c r="AL85" t="s">
        <v>1535</v>
      </c>
      <c r="AM85" s="1" t="s">
        <v>313</v>
      </c>
      <c r="AN85" s="10" t="s">
        <v>277</v>
      </c>
      <c r="AO85" s="17">
        <v>1</v>
      </c>
      <c r="AP85" s="17">
        <v>27</v>
      </c>
      <c r="AQ85" s="17">
        <v>21</v>
      </c>
      <c r="AR85" s="17">
        <v>6</v>
      </c>
      <c r="AS85" s="17" t="s">
        <v>1552</v>
      </c>
      <c r="AT85" s="17">
        <v>2077</v>
      </c>
      <c r="AU85" s="17">
        <v>2077</v>
      </c>
      <c r="AV85" s="17">
        <v>2077</v>
      </c>
      <c r="AW85" t="s">
        <v>547</v>
      </c>
      <c r="AX85" t="s">
        <v>547</v>
      </c>
      <c r="AY85" s="1" t="s">
        <v>284</v>
      </c>
      <c r="AZ85" t="s">
        <v>277</v>
      </c>
      <c r="BA85" t="s">
        <v>284</v>
      </c>
      <c r="BB85" t="s">
        <v>277</v>
      </c>
      <c r="BC85" s="2" t="s">
        <v>284</v>
      </c>
      <c r="BD85" s="2" t="s">
        <v>277</v>
      </c>
      <c r="BE85" t="s">
        <v>284</v>
      </c>
      <c r="BF85" s="2" t="s">
        <v>277</v>
      </c>
      <c r="BG85" t="s">
        <v>284</v>
      </c>
      <c r="BH85" t="s">
        <v>277</v>
      </c>
      <c r="BI85" t="s">
        <v>284</v>
      </c>
      <c r="BJ85" t="s">
        <v>277</v>
      </c>
      <c r="BK85" t="s">
        <v>284</v>
      </c>
      <c r="BL85" t="s">
        <v>277</v>
      </c>
      <c r="BM85" t="s">
        <v>284</v>
      </c>
      <c r="BN85" t="s">
        <v>277</v>
      </c>
      <c r="BO85" s="2" t="s">
        <v>386</v>
      </c>
      <c r="BP85" t="s">
        <v>277</v>
      </c>
      <c r="BQ85" s="2" t="s">
        <v>336</v>
      </c>
      <c r="BR85" t="s">
        <v>1553</v>
      </c>
      <c r="BS85" s="2" t="s">
        <v>336</v>
      </c>
      <c r="BT85" t="s">
        <v>1554</v>
      </c>
      <c r="BU85" t="s">
        <v>284</v>
      </c>
      <c r="BV85" t="s">
        <v>277</v>
      </c>
      <c r="BW85" t="s">
        <v>284</v>
      </c>
      <c r="BX85" t="s">
        <v>277</v>
      </c>
      <c r="BY85" t="s">
        <v>284</v>
      </c>
      <c r="BZ85" s="2" t="s">
        <v>277</v>
      </c>
      <c r="CA85" s="2" t="s">
        <v>277</v>
      </c>
      <c r="CB85" s="1" t="s">
        <v>277</v>
      </c>
      <c r="CC85" s="1" t="s">
        <v>277</v>
      </c>
      <c r="CD85" s="10" t="s">
        <v>278</v>
      </c>
      <c r="CE85" s="10" t="s">
        <v>278</v>
      </c>
      <c r="CF85" t="s">
        <v>278</v>
      </c>
      <c r="CG85" s="48" t="str">
        <f>IF(Data!$CB85="NA",".",Data!$CF85-(1-Data!$CF85))</f>
        <v>.</v>
      </c>
      <c r="CH85" s="1" t="s">
        <v>277</v>
      </c>
      <c r="CI85" s="17" t="s">
        <v>278</v>
      </c>
      <c r="CJ85" s="17" t="s">
        <v>278</v>
      </c>
      <c r="CK85" s="17" t="s">
        <v>278</v>
      </c>
      <c r="CL85" s="1" t="s">
        <v>277</v>
      </c>
      <c r="CM85" s="1" t="s">
        <v>277</v>
      </c>
      <c r="CN85" s="1" t="s">
        <v>277</v>
      </c>
      <c r="CO85" s="1" t="s">
        <v>277</v>
      </c>
      <c r="CP85" s="1" t="s">
        <v>277</v>
      </c>
      <c r="CQ85" s="1" t="s">
        <v>277</v>
      </c>
      <c r="CR85" s="1" t="s">
        <v>277</v>
      </c>
      <c r="CS85" s="1" t="s">
        <v>277</v>
      </c>
      <c r="CT85" s="1" t="s">
        <v>277</v>
      </c>
      <c r="CU85" s="1" t="s">
        <v>277</v>
      </c>
      <c r="CV85" s="1" t="s">
        <v>277</v>
      </c>
      <c r="CW85" s="1" t="s">
        <v>277</v>
      </c>
      <c r="CX85" s="1" t="s">
        <v>277</v>
      </c>
      <c r="CY85" s="1" t="s">
        <v>277</v>
      </c>
      <c r="CZ85" s="1" t="s">
        <v>277</v>
      </c>
      <c r="DA85" s="1" t="s">
        <v>277</v>
      </c>
      <c r="DB85" s="1" t="s">
        <v>277</v>
      </c>
      <c r="DC85" s="1" t="s">
        <v>277</v>
      </c>
      <c r="DD85" s="1" t="s">
        <v>277</v>
      </c>
      <c r="DE85" s="1" t="s">
        <v>277</v>
      </c>
      <c r="DF85" s="1" t="s">
        <v>277</v>
      </c>
      <c r="DG85" s="1" t="s">
        <v>277</v>
      </c>
      <c r="DH85" s="1" t="s">
        <v>277</v>
      </c>
      <c r="DI85" s="1" t="s">
        <v>277</v>
      </c>
      <c r="DJ85" s="1" t="s">
        <v>277</v>
      </c>
      <c r="DK85" s="1" t="s">
        <v>277</v>
      </c>
      <c r="DL85" s="1"/>
      <c r="DM85" s="1"/>
      <c r="DN85" t="s">
        <v>278</v>
      </c>
      <c r="DO85" s="48" t="str">
        <f>IF(Data!$CB85="NA",".",Data!$DN85-(1-Data!$DN85))</f>
        <v>.</v>
      </c>
      <c r="DP85" s="1" t="s">
        <v>277</v>
      </c>
      <c r="DQ85" s="17" t="s">
        <v>278</v>
      </c>
      <c r="DR85" s="17" t="s">
        <v>278</v>
      </c>
      <c r="DS85" s="17" t="s">
        <v>278</v>
      </c>
      <c r="DT85" s="1" t="s">
        <v>277</v>
      </c>
      <c r="DU85" s="1" t="s">
        <v>277</v>
      </c>
      <c r="DV85" s="1" t="s">
        <v>277</v>
      </c>
      <c r="DW85" s="1" t="s">
        <v>277</v>
      </c>
      <c r="DX85" s="1" t="s">
        <v>277</v>
      </c>
      <c r="DY85" s="1" t="s">
        <v>277</v>
      </c>
      <c r="DZ85" s="1" t="s">
        <v>277</v>
      </c>
      <c r="EA85" s="1" t="s">
        <v>277</v>
      </c>
      <c r="EB85" s="1" t="s">
        <v>277</v>
      </c>
      <c r="EC85" s="1" t="s">
        <v>277</v>
      </c>
      <c r="ED85" s="1" t="s">
        <v>277</v>
      </c>
      <c r="EE85" s="1" t="s">
        <v>277</v>
      </c>
      <c r="EF85" s="1" t="s">
        <v>277</v>
      </c>
      <c r="EG85" s="1" t="s">
        <v>277</v>
      </c>
      <c r="EH85" s="1" t="s">
        <v>277</v>
      </c>
      <c r="EI85" s="1" t="s">
        <v>277</v>
      </c>
      <c r="EJ85" s="1" t="s">
        <v>277</v>
      </c>
      <c r="EK85" s="1" t="s">
        <v>277</v>
      </c>
      <c r="EL85" s="1" t="s">
        <v>277</v>
      </c>
      <c r="EM85" s="1" t="s">
        <v>277</v>
      </c>
      <c r="EN85" s="1" t="s">
        <v>277</v>
      </c>
      <c r="EO85" s="1" t="s">
        <v>277</v>
      </c>
      <c r="EP85" s="1" t="s">
        <v>277</v>
      </c>
      <c r="EQ85" s="1" t="s">
        <v>277</v>
      </c>
    </row>
    <row r="86" spans="1:147" ht="15" customHeight="1">
      <c r="A86" s="30" t="s">
        <v>254</v>
      </c>
      <c r="B86" s="1">
        <v>83</v>
      </c>
      <c r="C86" s="30">
        <v>67</v>
      </c>
      <c r="D86" s="10">
        <v>2013</v>
      </c>
      <c r="E86" s="29" t="s">
        <v>1555</v>
      </c>
      <c r="F86" s="29" t="s">
        <v>1555</v>
      </c>
      <c r="G86" s="10">
        <v>1</v>
      </c>
      <c r="H86" s="10">
        <v>1</v>
      </c>
      <c r="I86" s="10">
        <v>1</v>
      </c>
      <c r="J86" t="s">
        <v>1556</v>
      </c>
      <c r="K86" s="29" t="s">
        <v>395</v>
      </c>
      <c r="L86" s="1" t="s">
        <v>258</v>
      </c>
      <c r="M86" t="s">
        <v>1557</v>
      </c>
      <c r="N86" s="31">
        <v>40</v>
      </c>
      <c r="O86" t="s">
        <v>260</v>
      </c>
      <c r="P86" s="1" t="s">
        <v>261</v>
      </c>
      <c r="Q86" s="29" t="s">
        <v>1558</v>
      </c>
      <c r="R86" s="29"/>
      <c r="S86" s="1" t="s">
        <v>325</v>
      </c>
      <c r="T86" s="1" t="s">
        <v>264</v>
      </c>
      <c r="U86" s="1" t="s">
        <v>644</v>
      </c>
      <c r="V86" s="1" t="s">
        <v>266</v>
      </c>
      <c r="W86" t="s">
        <v>267</v>
      </c>
      <c r="X86" s="10">
        <v>14.24</v>
      </c>
      <c r="Y86" s="10">
        <v>2.05</v>
      </c>
      <c r="Z86" s="10">
        <v>1.77</v>
      </c>
      <c r="AA86" s="10">
        <v>538</v>
      </c>
      <c r="AB86" s="29" t="s">
        <v>1559</v>
      </c>
      <c r="AC86" s="10">
        <v>2007</v>
      </c>
      <c r="AD86" s="10">
        <v>2008</v>
      </c>
      <c r="AE86" s="1">
        <v>16.3</v>
      </c>
      <c r="AF86" s="1" t="s">
        <v>269</v>
      </c>
      <c r="AG86" s="1" t="s">
        <v>270</v>
      </c>
      <c r="AH86" s="29" t="s">
        <v>1560</v>
      </c>
      <c r="AI86" s="1" t="s">
        <v>272</v>
      </c>
      <c r="AJ86" s="29" t="s">
        <v>1561</v>
      </c>
      <c r="AK86" t="s">
        <v>373</v>
      </c>
      <c r="AL86" s="29" t="s">
        <v>1562</v>
      </c>
      <c r="AM86" t="s">
        <v>375</v>
      </c>
      <c r="AN86" s="10" t="s">
        <v>277</v>
      </c>
      <c r="AO86" s="17">
        <v>1</v>
      </c>
      <c r="AP86" s="17">
        <v>2</v>
      </c>
      <c r="AQ86" s="17">
        <v>4</v>
      </c>
      <c r="AR86" s="17">
        <v>2</v>
      </c>
      <c r="AS86" s="17">
        <v>1</v>
      </c>
      <c r="AT86" s="17">
        <v>276</v>
      </c>
      <c r="AU86" s="17">
        <v>276</v>
      </c>
      <c r="AV86" s="17">
        <v>276</v>
      </c>
      <c r="AW86" t="s">
        <v>547</v>
      </c>
      <c r="AX86" t="s">
        <v>547</v>
      </c>
      <c r="AY86" s="1" t="s">
        <v>284</v>
      </c>
      <c r="AZ86" s="29" t="s">
        <v>277</v>
      </c>
      <c r="BA86" t="s">
        <v>284</v>
      </c>
      <c r="BB86" t="s">
        <v>277</v>
      </c>
      <c r="BC86" s="2" t="s">
        <v>284</v>
      </c>
      <c r="BD86" s="2" t="s">
        <v>277</v>
      </c>
      <c r="BE86" t="s">
        <v>284</v>
      </c>
      <c r="BF86" s="2" t="s">
        <v>277</v>
      </c>
      <c r="BG86" t="s">
        <v>284</v>
      </c>
      <c r="BH86" t="s">
        <v>277</v>
      </c>
      <c r="BI86" t="s">
        <v>284</v>
      </c>
      <c r="BJ86" t="s">
        <v>277</v>
      </c>
      <c r="BK86" t="s">
        <v>284</v>
      </c>
      <c r="BL86" t="s">
        <v>277</v>
      </c>
      <c r="BM86" t="s">
        <v>284</v>
      </c>
      <c r="BN86" t="s">
        <v>1563</v>
      </c>
      <c r="BO86" s="1" t="s">
        <v>284</v>
      </c>
      <c r="BP86" t="s">
        <v>1564</v>
      </c>
      <c r="BQ86" s="2" t="s">
        <v>1541</v>
      </c>
      <c r="BR86" s="29" t="s">
        <v>1565</v>
      </c>
      <c r="BS86" s="2" t="s">
        <v>336</v>
      </c>
      <c r="BT86" s="29" t="s">
        <v>1566</v>
      </c>
      <c r="BU86" t="s">
        <v>284</v>
      </c>
      <c r="BV86" t="s">
        <v>277</v>
      </c>
      <c r="BW86" s="39" t="s">
        <v>1567</v>
      </c>
      <c r="BX86" t="s">
        <v>1568</v>
      </c>
      <c r="BY86" t="s">
        <v>284</v>
      </c>
      <c r="BZ86" s="2" t="s">
        <v>277</v>
      </c>
      <c r="CA86" s="2" t="s">
        <v>1569</v>
      </c>
      <c r="CB86" s="1" t="s">
        <v>277</v>
      </c>
      <c r="CC86" s="1" t="s">
        <v>277</v>
      </c>
      <c r="CD86" s="10" t="s">
        <v>278</v>
      </c>
      <c r="CE86" s="10" t="s">
        <v>278</v>
      </c>
      <c r="CF86" t="s">
        <v>278</v>
      </c>
      <c r="CG86" s="48" t="str">
        <f>IF(Data!$CB86="NA",".",Data!$CF86-(1-Data!$CF86))</f>
        <v>.</v>
      </c>
      <c r="CH86" s="1" t="s">
        <v>277</v>
      </c>
      <c r="CI86" s="17" t="s">
        <v>278</v>
      </c>
      <c r="CJ86" s="17" t="s">
        <v>278</v>
      </c>
      <c r="CK86" s="17" t="s">
        <v>278</v>
      </c>
      <c r="CL86" s="1" t="s">
        <v>277</v>
      </c>
      <c r="CM86" s="1" t="s">
        <v>277</v>
      </c>
      <c r="CN86" s="1" t="s">
        <v>277</v>
      </c>
      <c r="CO86" s="1" t="s">
        <v>277</v>
      </c>
      <c r="CP86" s="1" t="s">
        <v>277</v>
      </c>
      <c r="CQ86" s="1" t="s">
        <v>277</v>
      </c>
      <c r="CR86" s="1" t="s">
        <v>277</v>
      </c>
      <c r="CS86" s="1" t="s">
        <v>277</v>
      </c>
      <c r="CT86" s="1" t="s">
        <v>277</v>
      </c>
      <c r="CU86" s="1" t="s">
        <v>277</v>
      </c>
      <c r="CV86" s="1" t="s">
        <v>277</v>
      </c>
      <c r="CW86" s="1" t="s">
        <v>277</v>
      </c>
      <c r="CX86" s="1" t="s">
        <v>277</v>
      </c>
      <c r="CY86" s="1" t="s">
        <v>277</v>
      </c>
      <c r="CZ86" s="1" t="s">
        <v>277</v>
      </c>
      <c r="DA86" s="1" t="s">
        <v>277</v>
      </c>
      <c r="DB86" s="1" t="s">
        <v>277</v>
      </c>
      <c r="DC86" s="1" t="s">
        <v>277</v>
      </c>
      <c r="DD86" s="1" t="s">
        <v>277</v>
      </c>
      <c r="DE86" s="1" t="s">
        <v>277</v>
      </c>
      <c r="DF86" s="1" t="s">
        <v>277</v>
      </c>
      <c r="DG86" s="1" t="s">
        <v>277</v>
      </c>
      <c r="DH86" s="1" t="s">
        <v>277</v>
      </c>
      <c r="DI86" s="1" t="s">
        <v>277</v>
      </c>
      <c r="DJ86" s="1" t="s">
        <v>277</v>
      </c>
      <c r="DK86" s="1" t="s">
        <v>277</v>
      </c>
      <c r="DL86" s="1"/>
      <c r="DM86" s="1"/>
      <c r="DN86" t="s">
        <v>278</v>
      </c>
      <c r="DO86" s="48" t="str">
        <f>IF(Data!$CB86="NA",".",Data!$DN86-(1-Data!$DN86))</f>
        <v>.</v>
      </c>
      <c r="DP86" s="1" t="s">
        <v>277</v>
      </c>
      <c r="DQ86" s="17" t="s">
        <v>278</v>
      </c>
      <c r="DR86" s="17" t="s">
        <v>278</v>
      </c>
      <c r="DS86" s="17" t="s">
        <v>278</v>
      </c>
      <c r="DT86" s="1" t="s">
        <v>277</v>
      </c>
      <c r="DU86" s="1" t="s">
        <v>277</v>
      </c>
      <c r="DV86" s="1" t="s">
        <v>277</v>
      </c>
      <c r="DW86" s="1" t="s">
        <v>277</v>
      </c>
      <c r="DX86" s="1" t="s">
        <v>277</v>
      </c>
      <c r="DY86" s="1" t="s">
        <v>277</v>
      </c>
      <c r="DZ86" s="1" t="s">
        <v>277</v>
      </c>
      <c r="EA86" s="1" t="s">
        <v>277</v>
      </c>
      <c r="EB86" s="1" t="s">
        <v>277</v>
      </c>
      <c r="EC86" s="1" t="s">
        <v>277</v>
      </c>
      <c r="ED86" s="1" t="s">
        <v>277</v>
      </c>
      <c r="EE86" s="1" t="s">
        <v>277</v>
      </c>
      <c r="EF86" s="1" t="s">
        <v>277</v>
      </c>
      <c r="EG86" s="1" t="s">
        <v>277</v>
      </c>
      <c r="EH86" s="1" t="s">
        <v>277</v>
      </c>
      <c r="EI86" s="1" t="s">
        <v>277</v>
      </c>
      <c r="EJ86" s="1" t="s">
        <v>277</v>
      </c>
      <c r="EK86" s="1" t="s">
        <v>277</v>
      </c>
      <c r="EL86" s="1" t="s">
        <v>277</v>
      </c>
      <c r="EM86" s="1" t="s">
        <v>277</v>
      </c>
      <c r="EN86" s="1" t="s">
        <v>277</v>
      </c>
      <c r="EO86" s="1" t="s">
        <v>277</v>
      </c>
      <c r="EP86" s="1" t="s">
        <v>277</v>
      </c>
      <c r="EQ86" s="1" t="s">
        <v>277</v>
      </c>
    </row>
    <row r="87" spans="1:147" ht="15" customHeight="1">
      <c r="A87" s="30" t="s">
        <v>254</v>
      </c>
      <c r="B87" s="10">
        <v>84</v>
      </c>
      <c r="C87" s="10">
        <v>68</v>
      </c>
      <c r="D87" s="10">
        <v>2019</v>
      </c>
      <c r="E87" t="s">
        <v>1570</v>
      </c>
      <c r="F87" t="s">
        <v>1570</v>
      </c>
      <c r="G87" s="10">
        <v>2</v>
      </c>
      <c r="H87" s="10">
        <v>2</v>
      </c>
      <c r="I87" s="10">
        <v>1</v>
      </c>
      <c r="J87" t="s">
        <v>1571</v>
      </c>
      <c r="K87" t="s">
        <v>1572</v>
      </c>
      <c r="L87" s="1" t="s">
        <v>258</v>
      </c>
      <c r="M87" t="s">
        <v>1573</v>
      </c>
      <c r="N87" s="10">
        <v>0</v>
      </c>
      <c r="O87" t="s">
        <v>694</v>
      </c>
      <c r="P87" s="1" t="s">
        <v>431</v>
      </c>
      <c r="Q87" t="s">
        <v>1574</v>
      </c>
      <c r="S87" s="1" t="s">
        <v>412</v>
      </c>
      <c r="T87" s="1" t="s">
        <v>413</v>
      </c>
      <c r="U87" s="1" t="s">
        <v>265</v>
      </c>
      <c r="V87" s="1" t="s">
        <v>696</v>
      </c>
      <c r="W87" t="s">
        <v>697</v>
      </c>
      <c r="X87" s="10">
        <v>7.83</v>
      </c>
      <c r="Y87" s="10">
        <v>4.81</v>
      </c>
      <c r="Z87" s="10">
        <v>3.51</v>
      </c>
      <c r="AA87" s="10">
        <v>631</v>
      </c>
      <c r="AB87" s="10" t="s">
        <v>1575</v>
      </c>
      <c r="AC87" s="10">
        <v>2013</v>
      </c>
      <c r="AD87" s="10">
        <v>2014</v>
      </c>
      <c r="AE87" s="1">
        <v>36.5</v>
      </c>
      <c r="AF87" s="1" t="s">
        <v>439</v>
      </c>
      <c r="AG87" s="1" t="s">
        <v>270</v>
      </c>
      <c r="AH87" s="29" t="s">
        <v>1576</v>
      </c>
      <c r="AI87" s="1" t="s">
        <v>605</v>
      </c>
      <c r="AJ87" s="29" t="s">
        <v>277</v>
      </c>
      <c r="AK87" t="s">
        <v>606</v>
      </c>
      <c r="AL87" t="s">
        <v>1577</v>
      </c>
      <c r="AM87" t="s">
        <v>276</v>
      </c>
      <c r="AN87" s="10" t="s">
        <v>277</v>
      </c>
      <c r="AO87" s="17">
        <v>1</v>
      </c>
      <c r="AP87" s="17" t="s">
        <v>278</v>
      </c>
      <c r="AQ87" s="17">
        <v>127</v>
      </c>
      <c r="AR87" s="17">
        <v>33</v>
      </c>
      <c r="AS87" s="17">
        <v>5</v>
      </c>
      <c r="AT87" s="17">
        <v>954</v>
      </c>
      <c r="AU87" s="17">
        <v>954</v>
      </c>
      <c r="AV87" s="51">
        <v>1083</v>
      </c>
      <c r="AW87" t="s">
        <v>1578</v>
      </c>
      <c r="AX87" t="s">
        <v>1579</v>
      </c>
      <c r="AY87" s="1" t="s">
        <v>284</v>
      </c>
      <c r="AZ87" s="29" t="s">
        <v>277</v>
      </c>
      <c r="BA87" t="s">
        <v>284</v>
      </c>
      <c r="BB87" t="s">
        <v>277</v>
      </c>
      <c r="BC87" s="2" t="s">
        <v>284</v>
      </c>
      <c r="BD87" s="2" t="s">
        <v>277</v>
      </c>
      <c r="BE87" t="s">
        <v>284</v>
      </c>
      <c r="BF87" s="2" t="s">
        <v>277</v>
      </c>
      <c r="BG87" t="s">
        <v>284</v>
      </c>
      <c r="BH87" t="s">
        <v>277</v>
      </c>
      <c r="BI87" t="s">
        <v>284</v>
      </c>
      <c r="BJ87" t="s">
        <v>277</v>
      </c>
      <c r="BK87" t="s">
        <v>284</v>
      </c>
      <c r="BL87" t="s">
        <v>277</v>
      </c>
      <c r="BM87" t="s">
        <v>284</v>
      </c>
      <c r="BN87" t="s">
        <v>277</v>
      </c>
      <c r="BO87" s="1" t="s">
        <v>284</v>
      </c>
      <c r="BP87" t="s">
        <v>277</v>
      </c>
      <c r="BQ87" s="2" t="s">
        <v>362</v>
      </c>
      <c r="BR87" t="s">
        <v>277</v>
      </c>
      <c r="BS87" s="2" t="s">
        <v>362</v>
      </c>
      <c r="BT87" s="2" t="s">
        <v>277</v>
      </c>
      <c r="BU87" t="s">
        <v>284</v>
      </c>
      <c r="BV87" s="2" t="s">
        <v>277</v>
      </c>
      <c r="BW87" t="s">
        <v>284</v>
      </c>
      <c r="BX87" s="2" t="s">
        <v>277</v>
      </c>
      <c r="BY87" t="s">
        <v>284</v>
      </c>
      <c r="BZ87" s="2" t="s">
        <v>277</v>
      </c>
      <c r="CA87" t="s">
        <v>1580</v>
      </c>
      <c r="CB87" s="1" t="s">
        <v>277</v>
      </c>
      <c r="CC87" s="1" t="s">
        <v>277</v>
      </c>
      <c r="CD87" s="10" t="s">
        <v>278</v>
      </c>
      <c r="CE87" s="10" t="s">
        <v>278</v>
      </c>
      <c r="CF87" t="s">
        <v>278</v>
      </c>
      <c r="CG87" s="48" t="str">
        <f>IF(Data!$CB87="NA",".",Data!$CF87-(1-Data!$CF87))</f>
        <v>.</v>
      </c>
      <c r="CH87" s="1" t="s">
        <v>277</v>
      </c>
      <c r="CI87" s="17" t="s">
        <v>278</v>
      </c>
      <c r="CJ87" s="17" t="s">
        <v>278</v>
      </c>
      <c r="CK87" s="17" t="s">
        <v>278</v>
      </c>
      <c r="CL87" s="1" t="s">
        <v>277</v>
      </c>
      <c r="CM87" s="1" t="s">
        <v>277</v>
      </c>
      <c r="CN87" s="1" t="s">
        <v>277</v>
      </c>
      <c r="CO87" s="1" t="s">
        <v>277</v>
      </c>
      <c r="CP87" s="1" t="s">
        <v>277</v>
      </c>
      <c r="CQ87" s="1" t="s">
        <v>277</v>
      </c>
      <c r="CR87" s="1" t="s">
        <v>277</v>
      </c>
      <c r="CS87" s="1" t="s">
        <v>277</v>
      </c>
      <c r="CT87" s="1" t="s">
        <v>277</v>
      </c>
      <c r="CU87" s="1" t="s">
        <v>277</v>
      </c>
      <c r="CV87" s="1" t="s">
        <v>277</v>
      </c>
      <c r="CW87" s="1" t="s">
        <v>277</v>
      </c>
      <c r="CX87" s="1" t="s">
        <v>277</v>
      </c>
      <c r="CY87" s="1" t="s">
        <v>277</v>
      </c>
      <c r="CZ87" s="1" t="s">
        <v>277</v>
      </c>
      <c r="DA87" s="1" t="s">
        <v>277</v>
      </c>
      <c r="DB87" s="1" t="s">
        <v>277</v>
      </c>
      <c r="DC87" s="1" t="s">
        <v>277</v>
      </c>
      <c r="DD87" s="1" t="s">
        <v>277</v>
      </c>
      <c r="DE87" s="1" t="s">
        <v>277</v>
      </c>
      <c r="DF87" s="1" t="s">
        <v>277</v>
      </c>
      <c r="DG87" s="1" t="s">
        <v>277</v>
      </c>
      <c r="DH87" s="1" t="s">
        <v>277</v>
      </c>
      <c r="DI87" s="1" t="s">
        <v>277</v>
      </c>
      <c r="DJ87" s="1" t="s">
        <v>277</v>
      </c>
      <c r="DK87" s="1" t="s">
        <v>277</v>
      </c>
      <c r="DL87" s="1"/>
      <c r="DM87" s="1"/>
      <c r="DN87" t="s">
        <v>278</v>
      </c>
      <c r="DO87" s="48" t="str">
        <f>IF(Data!$CB87="NA",".",Data!$DN87-(1-Data!$DN87))</f>
        <v>.</v>
      </c>
      <c r="DP87" s="1" t="s">
        <v>277</v>
      </c>
      <c r="DQ87" s="17" t="s">
        <v>278</v>
      </c>
      <c r="DR87" s="17" t="s">
        <v>278</v>
      </c>
      <c r="DS87" s="17" t="s">
        <v>278</v>
      </c>
      <c r="DT87" s="1" t="s">
        <v>277</v>
      </c>
      <c r="DU87" s="1" t="s">
        <v>277</v>
      </c>
      <c r="DV87" s="1" t="s">
        <v>277</v>
      </c>
      <c r="DW87" s="1" t="s">
        <v>277</v>
      </c>
      <c r="DX87" s="1" t="s">
        <v>277</v>
      </c>
      <c r="DY87" s="1" t="s">
        <v>277</v>
      </c>
      <c r="DZ87" s="1" t="s">
        <v>277</v>
      </c>
      <c r="EA87" s="1" t="s">
        <v>277</v>
      </c>
      <c r="EB87" s="1" t="s">
        <v>277</v>
      </c>
      <c r="EC87" s="1" t="s">
        <v>277</v>
      </c>
      <c r="ED87" s="1" t="s">
        <v>277</v>
      </c>
      <c r="EE87" s="1" t="s">
        <v>277</v>
      </c>
      <c r="EF87" s="1" t="s">
        <v>277</v>
      </c>
      <c r="EG87" s="1" t="s">
        <v>277</v>
      </c>
      <c r="EH87" s="1" t="s">
        <v>277</v>
      </c>
      <c r="EI87" s="1" t="s">
        <v>277</v>
      </c>
      <c r="EJ87" s="1" t="s">
        <v>277</v>
      </c>
      <c r="EK87" s="1" t="s">
        <v>277</v>
      </c>
      <c r="EL87" s="1" t="s">
        <v>277</v>
      </c>
      <c r="EM87" s="1" t="s">
        <v>277</v>
      </c>
      <c r="EN87" s="1" t="s">
        <v>277</v>
      </c>
      <c r="EO87" s="1" t="s">
        <v>277</v>
      </c>
      <c r="EP87" s="1" t="s">
        <v>277</v>
      </c>
      <c r="EQ87" s="1" t="s">
        <v>277</v>
      </c>
    </row>
    <row r="88" spans="1:147" ht="15" customHeight="1">
      <c r="A88" s="30" t="s">
        <v>254</v>
      </c>
      <c r="B88" s="10">
        <v>85</v>
      </c>
      <c r="C88" s="10">
        <v>69</v>
      </c>
      <c r="D88" s="10">
        <v>2019</v>
      </c>
      <c r="E88" t="s">
        <v>1581</v>
      </c>
      <c r="F88" t="s">
        <v>1581</v>
      </c>
      <c r="G88" s="10">
        <v>1</v>
      </c>
      <c r="H88" s="10">
        <v>2</v>
      </c>
      <c r="I88" s="10">
        <v>1</v>
      </c>
      <c r="J88" t="s">
        <v>1582</v>
      </c>
      <c r="K88" t="s">
        <v>395</v>
      </c>
      <c r="L88" s="1" t="s">
        <v>258</v>
      </c>
      <c r="M88" t="s">
        <v>1583</v>
      </c>
      <c r="N88" s="10">
        <v>4</v>
      </c>
      <c r="O88" t="s">
        <v>789</v>
      </c>
      <c r="P88" s="1" t="s">
        <v>431</v>
      </c>
      <c r="Q88" t="s">
        <v>1584</v>
      </c>
      <c r="R88" t="s">
        <v>1748</v>
      </c>
      <c r="S88" s="1" t="s">
        <v>412</v>
      </c>
      <c r="T88" s="1" t="s">
        <v>413</v>
      </c>
      <c r="U88" s="1" t="s">
        <v>790</v>
      </c>
      <c r="V88" t="s">
        <v>1720</v>
      </c>
      <c r="W88" t="s">
        <v>435</v>
      </c>
      <c r="X88" s="10">
        <v>2.56</v>
      </c>
      <c r="Y88" s="10">
        <v>4.87</v>
      </c>
      <c r="Z88" s="10">
        <v>4.39</v>
      </c>
      <c r="AA88" s="10">
        <v>169</v>
      </c>
      <c r="AB88" s="10">
        <v>2015</v>
      </c>
      <c r="AC88" s="10">
        <v>2015</v>
      </c>
      <c r="AD88" s="10">
        <v>2015</v>
      </c>
      <c r="AE88" s="1">
        <v>39.6</v>
      </c>
      <c r="AF88" s="1" t="s">
        <v>664</v>
      </c>
      <c r="AG88" s="1" t="s">
        <v>270</v>
      </c>
      <c r="AH88" t="s">
        <v>271</v>
      </c>
      <c r="AI88" s="1" t="s">
        <v>272</v>
      </c>
      <c r="AJ88" t="s">
        <v>1585</v>
      </c>
      <c r="AK88" t="s">
        <v>439</v>
      </c>
      <c r="AL88" t="s">
        <v>490</v>
      </c>
      <c r="AM88" t="s">
        <v>375</v>
      </c>
      <c r="AN88" s="10" t="s">
        <v>277</v>
      </c>
      <c r="AO88" s="17">
        <v>1</v>
      </c>
      <c r="AP88" s="17">
        <v>0</v>
      </c>
      <c r="AQ88" s="44" t="s">
        <v>1586</v>
      </c>
      <c r="AR88" s="17" t="s">
        <v>278</v>
      </c>
      <c r="AS88" s="17">
        <v>75</v>
      </c>
      <c r="AT88" s="51">
        <v>5544</v>
      </c>
      <c r="AU88" s="51">
        <v>5544</v>
      </c>
      <c r="AV88" s="51">
        <v>1264</v>
      </c>
      <c r="AW88" t="s">
        <v>547</v>
      </c>
      <c r="AX88" t="s">
        <v>1587</v>
      </c>
      <c r="AY88" s="1" t="s">
        <v>282</v>
      </c>
      <c r="AZ88" s="52" t="s">
        <v>1588</v>
      </c>
      <c r="BA88" t="s">
        <v>284</v>
      </c>
      <c r="BB88" t="s">
        <v>277</v>
      </c>
      <c r="BC88" s="2" t="s">
        <v>284</v>
      </c>
      <c r="BD88" s="2" t="s">
        <v>277</v>
      </c>
      <c r="BE88" t="s">
        <v>284</v>
      </c>
      <c r="BF88" s="2" t="s">
        <v>277</v>
      </c>
      <c r="BG88" t="s">
        <v>284</v>
      </c>
      <c r="BH88" t="s">
        <v>277</v>
      </c>
      <c r="BI88" t="s">
        <v>284</v>
      </c>
      <c r="BJ88" t="s">
        <v>277</v>
      </c>
      <c r="BK88" t="s">
        <v>284</v>
      </c>
      <c r="BL88" t="s">
        <v>277</v>
      </c>
      <c r="BM88" t="s">
        <v>284</v>
      </c>
      <c r="BN88" t="s">
        <v>277</v>
      </c>
      <c r="BO88" s="1" t="s">
        <v>284</v>
      </c>
      <c r="BP88" t="s">
        <v>277</v>
      </c>
      <c r="BQ88" s="2" t="s">
        <v>362</v>
      </c>
      <c r="BR88" t="s">
        <v>277</v>
      </c>
      <c r="BS88" s="2" t="s">
        <v>362</v>
      </c>
      <c r="BT88" s="2" t="s">
        <v>277</v>
      </c>
      <c r="BU88" t="s">
        <v>284</v>
      </c>
      <c r="BV88" s="2" t="s">
        <v>277</v>
      </c>
      <c r="BW88" t="s">
        <v>284</v>
      </c>
      <c r="BX88" s="2" t="s">
        <v>277</v>
      </c>
      <c r="BY88" t="s">
        <v>284</v>
      </c>
      <c r="BZ88" s="2" t="s">
        <v>277</v>
      </c>
      <c r="CA88" t="s">
        <v>277</v>
      </c>
      <c r="CB88" t="s">
        <v>1589</v>
      </c>
      <c r="CC88" t="s">
        <v>1590</v>
      </c>
      <c r="CD88" s="17">
        <f>71/(100-AVERAGE(39,28.3,39.6))</f>
        <v>1.1030554117037803</v>
      </c>
      <c r="CE88" s="17">
        <f>29/AVERAGE(39,28.3,39.6)</f>
        <v>0.813844714686623</v>
      </c>
      <c r="CF88" s="48">
        <f aca="true" t="shared" si="3" ref="CF88:CF93">CE88/(CE88+CD88)</f>
        <v>0.4245629198319914</v>
      </c>
      <c r="CG88" s="48">
        <f>IF(Data!$CB88="NA",".",Data!$CF88-(1-Data!$CF88))</f>
        <v>-0.15087416033601725</v>
      </c>
      <c r="CH88" t="s">
        <v>1591</v>
      </c>
      <c r="CI88" s="17">
        <v>0</v>
      </c>
      <c r="CJ88" s="17">
        <v>1</v>
      </c>
      <c r="CK88" s="17">
        <v>0</v>
      </c>
      <c r="CL88" s="10" t="s">
        <v>303</v>
      </c>
      <c r="CM88" s="10" t="s">
        <v>298</v>
      </c>
      <c r="CN88" s="10" t="s">
        <v>299</v>
      </c>
      <c r="CO88" s="10" t="s">
        <v>298</v>
      </c>
      <c r="CP88" s="10" t="s">
        <v>298</v>
      </c>
      <c r="CQ88" s="10" t="s">
        <v>298</v>
      </c>
      <c r="CR88" s="10" t="s">
        <v>299</v>
      </c>
      <c r="CS88" s="10" t="s">
        <v>298</v>
      </c>
      <c r="CT88" s="10" t="s">
        <v>298</v>
      </c>
      <c r="CU88" s="10" t="s">
        <v>298</v>
      </c>
      <c r="CV88" s="10" t="s">
        <v>299</v>
      </c>
      <c r="CW88" s="10" t="s">
        <v>298</v>
      </c>
      <c r="CX88" s="10" t="s">
        <v>298</v>
      </c>
      <c r="CY88" s="10" t="s">
        <v>298</v>
      </c>
      <c r="CZ88" s="10" t="s">
        <v>298</v>
      </c>
      <c r="DA88" s="10" t="s">
        <v>298</v>
      </c>
      <c r="DB88" s="10" t="s">
        <v>298</v>
      </c>
      <c r="DC88" s="10" t="s">
        <v>298</v>
      </c>
      <c r="DD88" s="10" t="s">
        <v>298</v>
      </c>
      <c r="DE88" s="10" t="s">
        <v>299</v>
      </c>
      <c r="DF88" s="10" t="s">
        <v>299</v>
      </c>
      <c r="DG88" s="10" t="s">
        <v>298</v>
      </c>
      <c r="DH88" s="10" t="s">
        <v>298</v>
      </c>
      <c r="DI88" s="10" t="s">
        <v>298</v>
      </c>
      <c r="DJ88" s="1" t="s">
        <v>277</v>
      </c>
      <c r="DK88" s="1" t="s">
        <v>277</v>
      </c>
      <c r="DL88" s="1" t="s">
        <v>278</v>
      </c>
      <c r="DM88" s="1" t="s">
        <v>278</v>
      </c>
      <c r="DN88" s="48" t="s">
        <v>278</v>
      </c>
      <c r="DO88" s="48" t="s">
        <v>278</v>
      </c>
      <c r="DP88" s="1" t="s">
        <v>277</v>
      </c>
      <c r="DQ88" s="17" t="s">
        <v>278</v>
      </c>
      <c r="DR88" s="17" t="s">
        <v>278</v>
      </c>
      <c r="DS88" s="17" t="s">
        <v>278</v>
      </c>
      <c r="DT88" s="1" t="s">
        <v>277</v>
      </c>
      <c r="DU88" s="1" t="s">
        <v>277</v>
      </c>
      <c r="DV88" s="1" t="s">
        <v>277</v>
      </c>
      <c r="DW88" s="1" t="s">
        <v>277</v>
      </c>
      <c r="DX88" s="1" t="s">
        <v>277</v>
      </c>
      <c r="DY88" s="1" t="s">
        <v>277</v>
      </c>
      <c r="DZ88" s="1" t="s">
        <v>277</v>
      </c>
      <c r="EA88" s="1" t="s">
        <v>277</v>
      </c>
      <c r="EB88" s="1" t="s">
        <v>277</v>
      </c>
      <c r="EC88" s="1" t="s">
        <v>277</v>
      </c>
      <c r="ED88" s="1" t="s">
        <v>277</v>
      </c>
      <c r="EE88" s="1" t="s">
        <v>277</v>
      </c>
      <c r="EF88" s="1" t="s">
        <v>277</v>
      </c>
      <c r="EG88" s="1" t="s">
        <v>277</v>
      </c>
      <c r="EH88" s="1" t="s">
        <v>277</v>
      </c>
      <c r="EI88" s="1" t="s">
        <v>277</v>
      </c>
      <c r="EJ88" s="1" t="s">
        <v>277</v>
      </c>
      <c r="EK88" s="1" t="s">
        <v>277</v>
      </c>
      <c r="EL88" s="1" t="s">
        <v>277</v>
      </c>
      <c r="EM88" s="1" t="s">
        <v>277</v>
      </c>
      <c r="EN88" s="1" t="s">
        <v>277</v>
      </c>
      <c r="EO88" s="1" t="s">
        <v>277</v>
      </c>
      <c r="EP88" s="1" t="s">
        <v>277</v>
      </c>
      <c r="EQ88" s="1" t="s">
        <v>277</v>
      </c>
    </row>
    <row r="89" spans="1:147" ht="15" customHeight="1">
      <c r="A89" s="30" t="s">
        <v>254</v>
      </c>
      <c r="B89" s="10">
        <v>86</v>
      </c>
      <c r="C89" s="10">
        <v>70</v>
      </c>
      <c r="D89" s="10">
        <v>2017</v>
      </c>
      <c r="E89" t="s">
        <v>1592</v>
      </c>
      <c r="F89" t="s">
        <v>1592</v>
      </c>
      <c r="G89" s="10">
        <v>2</v>
      </c>
      <c r="H89" s="10">
        <v>2</v>
      </c>
      <c r="I89" s="10">
        <v>1</v>
      </c>
      <c r="J89" t="s">
        <v>1593</v>
      </c>
      <c r="K89" t="s">
        <v>1594</v>
      </c>
      <c r="M89" t="s">
        <v>1595</v>
      </c>
      <c r="N89" s="10">
        <v>4</v>
      </c>
      <c r="O89" t="s">
        <v>1596</v>
      </c>
      <c r="P89" s="1" t="s">
        <v>431</v>
      </c>
      <c r="Q89" t="s">
        <v>1239</v>
      </c>
      <c r="R89" t="s">
        <v>1746</v>
      </c>
      <c r="S89" s="1" t="s">
        <v>325</v>
      </c>
      <c r="T89" s="1" t="s">
        <v>264</v>
      </c>
      <c r="U89" s="1" t="s">
        <v>790</v>
      </c>
      <c r="V89" s="1" t="s">
        <v>1718</v>
      </c>
      <c r="W89" t="s">
        <v>435</v>
      </c>
      <c r="X89" s="10">
        <v>17.34</v>
      </c>
      <c r="Y89" s="10">
        <v>5.33</v>
      </c>
      <c r="Z89" s="10">
        <v>3.47</v>
      </c>
      <c r="AA89" s="10">
        <v>617</v>
      </c>
      <c r="AB89" s="10">
        <v>2014</v>
      </c>
      <c r="AC89" s="10">
        <v>2014</v>
      </c>
      <c r="AD89" s="10">
        <v>2014</v>
      </c>
      <c r="AE89" s="1">
        <v>31.4</v>
      </c>
      <c r="AF89" s="1" t="s">
        <v>664</v>
      </c>
      <c r="AG89" s="1" t="s">
        <v>270</v>
      </c>
      <c r="AH89" t="s">
        <v>271</v>
      </c>
      <c r="AI89" s="1" t="s">
        <v>272</v>
      </c>
      <c r="AJ89" t="s">
        <v>1597</v>
      </c>
      <c r="AK89" s="29" t="s">
        <v>274</v>
      </c>
      <c r="AL89" t="s">
        <v>490</v>
      </c>
      <c r="AM89" t="s">
        <v>375</v>
      </c>
      <c r="AN89" s="10" t="s">
        <v>277</v>
      </c>
      <c r="AO89" s="17">
        <v>1</v>
      </c>
      <c r="AP89" s="17">
        <v>0</v>
      </c>
      <c r="AQ89" s="17">
        <v>18</v>
      </c>
      <c r="AR89" s="17">
        <v>9</v>
      </c>
      <c r="AS89" s="17">
        <v>5</v>
      </c>
      <c r="AT89" s="17">
        <v>332</v>
      </c>
      <c r="AU89" s="17">
        <v>332</v>
      </c>
      <c r="AV89" s="17">
        <v>332</v>
      </c>
      <c r="AW89" t="s">
        <v>1308</v>
      </c>
      <c r="AX89" t="s">
        <v>1598</v>
      </c>
      <c r="AY89" s="1" t="s">
        <v>282</v>
      </c>
      <c r="AZ89" t="s">
        <v>1599</v>
      </c>
      <c r="BA89" t="s">
        <v>418</v>
      </c>
      <c r="BB89" t="s">
        <v>1600</v>
      </c>
      <c r="BC89" s="2" t="s">
        <v>284</v>
      </c>
      <c r="BD89" s="2" t="s">
        <v>277</v>
      </c>
      <c r="BE89" t="s">
        <v>284</v>
      </c>
      <c r="BF89" s="2" t="s">
        <v>277</v>
      </c>
      <c r="BG89" t="s">
        <v>284</v>
      </c>
      <c r="BH89" t="s">
        <v>277</v>
      </c>
      <c r="BI89" t="s">
        <v>284</v>
      </c>
      <c r="BJ89" t="s">
        <v>277</v>
      </c>
      <c r="BK89" t="s">
        <v>284</v>
      </c>
      <c r="BL89" t="s">
        <v>277</v>
      </c>
      <c r="BM89" t="s">
        <v>284</v>
      </c>
      <c r="BN89" t="s">
        <v>277</v>
      </c>
      <c r="BO89" s="1" t="s">
        <v>284</v>
      </c>
      <c r="BP89" t="s">
        <v>277</v>
      </c>
      <c r="BQ89" s="2" t="s">
        <v>362</v>
      </c>
      <c r="BR89" t="s">
        <v>277</v>
      </c>
      <c r="BS89" s="2" t="s">
        <v>362</v>
      </c>
      <c r="BT89" s="2" t="s">
        <v>1601</v>
      </c>
      <c r="BU89" t="s">
        <v>284</v>
      </c>
      <c r="BV89" s="2" t="s">
        <v>277</v>
      </c>
      <c r="BW89" t="s">
        <v>284</v>
      </c>
      <c r="BX89" s="2" t="s">
        <v>277</v>
      </c>
      <c r="BY89" t="s">
        <v>1602</v>
      </c>
      <c r="BZ89" s="2" t="s">
        <v>1603</v>
      </c>
      <c r="CA89" t="s">
        <v>1604</v>
      </c>
      <c r="CB89" t="s">
        <v>1605</v>
      </c>
      <c r="CC89" s="12" t="s">
        <v>1606</v>
      </c>
      <c r="CD89" s="17">
        <v>57</v>
      </c>
      <c r="CE89" s="17">
        <v>30</v>
      </c>
      <c r="CF89" s="48">
        <f t="shared" si="3"/>
        <v>0.3448275862068966</v>
      </c>
      <c r="CG89" s="48">
        <f>IF(Data!$CB89="NA",".",Data!$CF89-(1-Data!$CF89))</f>
        <v>-0.31034482758620685</v>
      </c>
      <c r="CH89" s="1" t="s">
        <v>277</v>
      </c>
      <c r="CI89" s="17">
        <v>0</v>
      </c>
      <c r="CJ89" s="17">
        <v>0</v>
      </c>
      <c r="CK89" s="17">
        <v>0</v>
      </c>
      <c r="CL89" s="10" t="s">
        <v>303</v>
      </c>
      <c r="CM89" s="10" t="s">
        <v>298</v>
      </c>
      <c r="CN89" s="10" t="s">
        <v>299</v>
      </c>
      <c r="CO89" s="10" t="s">
        <v>299</v>
      </c>
      <c r="CP89" s="10" t="s">
        <v>299</v>
      </c>
      <c r="CQ89" s="10" t="s">
        <v>299</v>
      </c>
      <c r="CR89" s="10" t="s">
        <v>299</v>
      </c>
      <c r="CS89" s="10" t="s">
        <v>298</v>
      </c>
      <c r="CT89" s="10" t="s">
        <v>538</v>
      </c>
      <c r="CU89" s="10" t="s">
        <v>299</v>
      </c>
      <c r="CV89" s="10" t="s">
        <v>299</v>
      </c>
      <c r="CW89" s="10" t="s">
        <v>298</v>
      </c>
      <c r="CX89" s="10" t="s">
        <v>298</v>
      </c>
      <c r="CY89" s="10" t="s">
        <v>298</v>
      </c>
      <c r="CZ89" s="10" t="s">
        <v>298</v>
      </c>
      <c r="DA89" s="10" t="s">
        <v>298</v>
      </c>
      <c r="DB89" s="10" t="s">
        <v>298</v>
      </c>
      <c r="DC89" s="10" t="s">
        <v>298</v>
      </c>
      <c r="DD89" s="10" t="s">
        <v>298</v>
      </c>
      <c r="DE89" s="10" t="s">
        <v>299</v>
      </c>
      <c r="DF89" s="10" t="s">
        <v>299</v>
      </c>
      <c r="DG89" s="10" t="s">
        <v>298</v>
      </c>
      <c r="DH89" s="10" t="s">
        <v>298</v>
      </c>
      <c r="DI89" s="10" t="s">
        <v>298</v>
      </c>
      <c r="DJ89" s="1" t="s">
        <v>277</v>
      </c>
      <c r="DK89" s="1" t="s">
        <v>277</v>
      </c>
      <c r="DL89" s="1" t="s">
        <v>278</v>
      </c>
      <c r="DM89" s="1" t="s">
        <v>278</v>
      </c>
      <c r="DN89" s="48" t="s">
        <v>278</v>
      </c>
      <c r="DO89" s="48" t="s">
        <v>278</v>
      </c>
      <c r="DP89" s="1" t="s">
        <v>277</v>
      </c>
      <c r="DQ89" s="17" t="s">
        <v>278</v>
      </c>
      <c r="DR89" s="17" t="s">
        <v>278</v>
      </c>
      <c r="DS89" s="17" t="s">
        <v>278</v>
      </c>
      <c r="DT89" s="1" t="s">
        <v>277</v>
      </c>
      <c r="DU89" s="1" t="s">
        <v>277</v>
      </c>
      <c r="DV89" s="1" t="s">
        <v>277</v>
      </c>
      <c r="DW89" s="1" t="s">
        <v>277</v>
      </c>
      <c r="DX89" s="1" t="s">
        <v>277</v>
      </c>
      <c r="DY89" s="1" t="s">
        <v>277</v>
      </c>
      <c r="DZ89" s="1" t="s">
        <v>277</v>
      </c>
      <c r="EA89" s="1" t="s">
        <v>277</v>
      </c>
      <c r="EB89" s="1" t="s">
        <v>277</v>
      </c>
      <c r="EC89" s="1" t="s">
        <v>277</v>
      </c>
      <c r="ED89" s="1" t="s">
        <v>277</v>
      </c>
      <c r="EE89" s="1" t="s">
        <v>277</v>
      </c>
      <c r="EF89" s="1" t="s">
        <v>277</v>
      </c>
      <c r="EG89" s="1" t="s">
        <v>277</v>
      </c>
      <c r="EH89" s="1" t="s">
        <v>277</v>
      </c>
      <c r="EI89" s="1" t="s">
        <v>277</v>
      </c>
      <c r="EJ89" s="1" t="s">
        <v>277</v>
      </c>
      <c r="EK89" s="1" t="s">
        <v>277</v>
      </c>
      <c r="EL89" s="1" t="s">
        <v>277</v>
      </c>
      <c r="EM89" s="1" t="s">
        <v>277</v>
      </c>
      <c r="EN89" s="1" t="s">
        <v>277</v>
      </c>
      <c r="EO89" s="1" t="s">
        <v>277</v>
      </c>
      <c r="EP89" s="1" t="s">
        <v>277</v>
      </c>
      <c r="EQ89" s="1" t="s">
        <v>277</v>
      </c>
    </row>
    <row r="90" spans="1:147" s="10" customFormat="1" ht="15" customHeight="1">
      <c r="A90" s="30" t="s">
        <v>1130</v>
      </c>
      <c r="B90" s="10">
        <v>87</v>
      </c>
      <c r="C90" s="10">
        <v>71</v>
      </c>
      <c r="D90" s="10">
        <v>2013</v>
      </c>
      <c r="E90" s="10" t="s">
        <v>1607</v>
      </c>
      <c r="F90" s="10" t="s">
        <v>1608</v>
      </c>
      <c r="G90" s="10">
        <v>5</v>
      </c>
      <c r="H90" s="10">
        <v>5</v>
      </c>
      <c r="I90" s="10">
        <v>1</v>
      </c>
      <c r="J90" s="10" t="s">
        <v>1609</v>
      </c>
      <c r="K90" s="10" t="s">
        <v>1610</v>
      </c>
      <c r="L90" s="1" t="s">
        <v>258</v>
      </c>
      <c r="M90" s="10" t="s">
        <v>1611</v>
      </c>
      <c r="N90" s="10">
        <v>36</v>
      </c>
      <c r="O90" s="10" t="s">
        <v>501</v>
      </c>
      <c r="P90" s="1" t="s">
        <v>502</v>
      </c>
      <c r="Q90" t="s">
        <v>1354</v>
      </c>
      <c r="R90" t="s">
        <v>1737</v>
      </c>
      <c r="S90" s="1" t="s">
        <v>263</v>
      </c>
      <c r="T90" s="1" t="s">
        <v>264</v>
      </c>
      <c r="U90" s="1" t="s">
        <v>346</v>
      </c>
      <c r="V90" s="1" t="s">
        <v>503</v>
      </c>
      <c r="W90" t="s">
        <v>267</v>
      </c>
      <c r="X90" s="10">
        <v>10.41</v>
      </c>
      <c r="Y90" s="10">
        <v>3.09</v>
      </c>
      <c r="Z90" s="10">
        <v>2.45</v>
      </c>
      <c r="AA90" s="10">
        <v>282</v>
      </c>
      <c r="AB90" s="10" t="s">
        <v>1167</v>
      </c>
      <c r="AC90" s="1">
        <v>1975</v>
      </c>
      <c r="AD90" s="10">
        <v>2012</v>
      </c>
      <c r="AE90" s="5">
        <f>(3.8*4+3.5*1+5.6*4+9.6*4+13.3*5+18*4+20.6*3+20.6*4+21.1*2+20.8*2+22.1*3+24.7*2)/(4+1+4+4+5+4+3+4+2+2+3+2)</f>
        <v>14.781578947368422</v>
      </c>
      <c r="AF90" s="1" t="s">
        <v>269</v>
      </c>
      <c r="AG90" s="1" t="s">
        <v>270</v>
      </c>
      <c r="AH90" s="10" t="s">
        <v>1612</v>
      </c>
      <c r="AI90" s="1" t="s">
        <v>272</v>
      </c>
      <c r="AJ90" s="10" t="s">
        <v>1168</v>
      </c>
      <c r="AK90" t="s">
        <v>373</v>
      </c>
      <c r="AL90" s="10" t="s">
        <v>1613</v>
      </c>
      <c r="AM90" t="s">
        <v>375</v>
      </c>
      <c r="AN90" s="10" t="s">
        <v>277</v>
      </c>
      <c r="AO90" s="17">
        <v>1</v>
      </c>
      <c r="AP90" s="17">
        <v>15</v>
      </c>
      <c r="AQ90" s="17">
        <v>30</v>
      </c>
      <c r="AR90" s="17">
        <v>15</v>
      </c>
      <c r="AS90" s="17">
        <v>1</v>
      </c>
      <c r="AT90" s="17">
        <v>2463</v>
      </c>
      <c r="AU90" s="17">
        <v>2463</v>
      </c>
      <c r="AV90" s="17">
        <v>3458</v>
      </c>
      <c r="AW90" s="10" t="s">
        <v>547</v>
      </c>
      <c r="AX90" s="10" t="s">
        <v>1614</v>
      </c>
      <c r="AY90" s="1" t="s">
        <v>282</v>
      </c>
      <c r="AZ90" s="10" t="s">
        <v>1615</v>
      </c>
      <c r="BA90" t="s">
        <v>284</v>
      </c>
      <c r="BB90" t="s">
        <v>277</v>
      </c>
      <c r="BC90" t="s">
        <v>284</v>
      </c>
      <c r="BD90" t="s">
        <v>277</v>
      </c>
      <c r="BE90" t="s">
        <v>284</v>
      </c>
      <c r="BF90" t="s">
        <v>277</v>
      </c>
      <c r="BG90" s="3" t="s">
        <v>1457</v>
      </c>
      <c r="BH90" s="10" t="s">
        <v>1616</v>
      </c>
      <c r="BI90" s="2" t="s">
        <v>380</v>
      </c>
      <c r="BJ90" s="10" t="s">
        <v>1617</v>
      </c>
      <c r="BK90" s="2" t="s">
        <v>816</v>
      </c>
      <c r="BL90" s="10" t="s">
        <v>1618</v>
      </c>
      <c r="BM90" t="s">
        <v>284</v>
      </c>
      <c r="BN90" t="s">
        <v>277</v>
      </c>
      <c r="BO90" t="s">
        <v>284</v>
      </c>
      <c r="BP90" t="s">
        <v>277</v>
      </c>
      <c r="BQ90" s="2" t="s">
        <v>362</v>
      </c>
      <c r="BR90" t="s">
        <v>277</v>
      </c>
      <c r="BS90" s="2" t="s">
        <v>362</v>
      </c>
      <c r="BT90" s="2" t="s">
        <v>277</v>
      </c>
      <c r="BU90" t="s">
        <v>284</v>
      </c>
      <c r="BV90" s="2" t="s">
        <v>277</v>
      </c>
      <c r="BW90" s="1" t="s">
        <v>709</v>
      </c>
      <c r="BX90" s="10" t="s">
        <v>1619</v>
      </c>
      <c r="BY90" t="s">
        <v>284</v>
      </c>
      <c r="BZ90" s="2" t="s">
        <v>277</v>
      </c>
      <c r="CA90" s="10" t="s">
        <v>1620</v>
      </c>
      <c r="CB90" s="10" t="s">
        <v>1621</v>
      </c>
      <c r="CC90" s="10" t="s">
        <v>1622</v>
      </c>
      <c r="CD90" s="17">
        <v>124.21</v>
      </c>
      <c r="CE90" s="17">
        <v>99.82</v>
      </c>
      <c r="CF90" s="48">
        <f t="shared" si="3"/>
        <v>0.44556532607240107</v>
      </c>
      <c r="CG90" s="48">
        <f>IF(Data!$CB90="NA",".",Data!$CF90-(1-Data!$CF90))</f>
        <v>-0.10886934785519786</v>
      </c>
      <c r="CH90" s="10" t="s">
        <v>1623</v>
      </c>
      <c r="CI90" s="17">
        <v>0</v>
      </c>
      <c r="CJ90" s="17">
        <v>1</v>
      </c>
      <c r="CK90" s="17">
        <v>1</v>
      </c>
      <c r="CL90" s="10" t="s">
        <v>303</v>
      </c>
      <c r="CM90" s="10" t="s">
        <v>298</v>
      </c>
      <c r="CN90" s="10" t="s">
        <v>299</v>
      </c>
      <c r="CO90" s="10" t="s">
        <v>299</v>
      </c>
      <c r="CP90" s="10" t="s">
        <v>299</v>
      </c>
      <c r="CQ90" s="10" t="s">
        <v>299</v>
      </c>
      <c r="CR90" s="10" t="s">
        <v>299</v>
      </c>
      <c r="CS90" s="10" t="s">
        <v>298</v>
      </c>
      <c r="CT90" s="10" t="s">
        <v>538</v>
      </c>
      <c r="CU90" s="10" t="s">
        <v>298</v>
      </c>
      <c r="CV90" s="10" t="s">
        <v>298</v>
      </c>
      <c r="CW90" s="10" t="s">
        <v>299</v>
      </c>
      <c r="CX90" s="10" t="s">
        <v>299</v>
      </c>
      <c r="CY90" s="10" t="s">
        <v>298</v>
      </c>
      <c r="CZ90" s="10" t="s">
        <v>300</v>
      </c>
      <c r="DA90" s="10" t="s">
        <v>298</v>
      </c>
      <c r="DB90" s="10" t="s">
        <v>298</v>
      </c>
      <c r="DC90" s="10" t="s">
        <v>298</v>
      </c>
      <c r="DD90" s="43" t="s">
        <v>298</v>
      </c>
      <c r="DE90" s="10" t="s">
        <v>299</v>
      </c>
      <c r="DF90" s="10" t="s">
        <v>298</v>
      </c>
      <c r="DG90" s="10" t="s">
        <v>299</v>
      </c>
      <c r="DH90" s="10" t="s">
        <v>298</v>
      </c>
      <c r="DI90" s="10" t="s">
        <v>298</v>
      </c>
      <c r="DJ90" s="1" t="s">
        <v>277</v>
      </c>
      <c r="DK90" s="1" t="s">
        <v>277</v>
      </c>
      <c r="DL90" s="1" t="s">
        <v>278</v>
      </c>
      <c r="DM90" s="1" t="s">
        <v>278</v>
      </c>
      <c r="DN90" s="48" t="s">
        <v>278</v>
      </c>
      <c r="DO90" s="48" t="s">
        <v>278</v>
      </c>
      <c r="DP90" s="1" t="s">
        <v>277</v>
      </c>
      <c r="DQ90" s="17" t="s">
        <v>278</v>
      </c>
      <c r="DR90" s="17" t="s">
        <v>278</v>
      </c>
      <c r="DS90" s="17" t="s">
        <v>278</v>
      </c>
      <c r="DT90" s="1" t="s">
        <v>277</v>
      </c>
      <c r="DU90" s="1" t="s">
        <v>277</v>
      </c>
      <c r="DV90" s="1" t="s">
        <v>277</v>
      </c>
      <c r="DW90" s="1" t="s">
        <v>277</v>
      </c>
      <c r="DX90" s="1" t="s">
        <v>277</v>
      </c>
      <c r="DY90" s="1" t="s">
        <v>277</v>
      </c>
      <c r="DZ90" s="1" t="s">
        <v>277</v>
      </c>
      <c r="EA90" s="1" t="s">
        <v>277</v>
      </c>
      <c r="EB90" s="1" t="s">
        <v>277</v>
      </c>
      <c r="EC90" s="1" t="s">
        <v>277</v>
      </c>
      <c r="ED90" s="1" t="s">
        <v>277</v>
      </c>
      <c r="EE90" s="1" t="s">
        <v>277</v>
      </c>
      <c r="EF90" s="1" t="s">
        <v>277</v>
      </c>
      <c r="EG90" s="1" t="s">
        <v>277</v>
      </c>
      <c r="EH90" s="1" t="s">
        <v>277</v>
      </c>
      <c r="EI90" s="1" t="s">
        <v>277</v>
      </c>
      <c r="EJ90" s="1" t="s">
        <v>277</v>
      </c>
      <c r="EK90" s="1" t="s">
        <v>277</v>
      </c>
      <c r="EL90" s="1" t="s">
        <v>277</v>
      </c>
      <c r="EM90" s="1" t="s">
        <v>277</v>
      </c>
      <c r="EN90" s="1" t="s">
        <v>277</v>
      </c>
      <c r="EO90" s="1" t="s">
        <v>277</v>
      </c>
      <c r="EP90" s="1" t="s">
        <v>277</v>
      </c>
      <c r="EQ90" s="1" t="s">
        <v>277</v>
      </c>
    </row>
    <row r="91" spans="1:147" ht="15" customHeight="1">
      <c r="A91" s="30" t="s">
        <v>1130</v>
      </c>
      <c r="B91" s="10">
        <v>88</v>
      </c>
      <c r="C91" s="10">
        <v>72</v>
      </c>
      <c r="D91" s="10">
        <v>2016</v>
      </c>
      <c r="E91" t="s">
        <v>1624</v>
      </c>
      <c r="F91" t="s">
        <v>1625</v>
      </c>
      <c r="G91" s="10">
        <v>3</v>
      </c>
      <c r="H91" s="10">
        <v>3</v>
      </c>
      <c r="I91" s="10">
        <v>1</v>
      </c>
      <c r="J91" t="s">
        <v>1626</v>
      </c>
      <c r="K91" t="s">
        <v>1627</v>
      </c>
      <c r="L91" s="1" t="s">
        <v>258</v>
      </c>
      <c r="M91" t="s">
        <v>1628</v>
      </c>
      <c r="N91" s="10">
        <v>3</v>
      </c>
      <c r="O91" t="s">
        <v>1596</v>
      </c>
      <c r="P91" s="1" t="s">
        <v>431</v>
      </c>
      <c r="Q91" t="s">
        <v>1629</v>
      </c>
      <c r="R91" t="s">
        <v>1749</v>
      </c>
      <c r="S91" s="1" t="s">
        <v>263</v>
      </c>
      <c r="T91" s="1" t="s">
        <v>264</v>
      </c>
      <c r="U91" s="1" t="s">
        <v>790</v>
      </c>
      <c r="V91" s="1" t="s">
        <v>1719</v>
      </c>
      <c r="W91" t="s">
        <v>646</v>
      </c>
      <c r="X91" s="10">
        <f>(2.69+7.81+17.34)/3</f>
        <v>9.28</v>
      </c>
      <c r="Y91" s="10">
        <f>(3.91+7.67+3.47)/3</f>
        <v>5.016666666666667</v>
      </c>
      <c r="Z91" s="10">
        <f>(3.47+7.67+3.47)/3</f>
        <v>4.87</v>
      </c>
      <c r="AA91" s="16">
        <f>(630+630+617)/3</f>
        <v>625.6666666666666</v>
      </c>
      <c r="AB91" t="s">
        <v>1630</v>
      </c>
      <c r="AC91" s="1">
        <v>1979</v>
      </c>
      <c r="AD91" s="10">
        <v>2013</v>
      </c>
      <c r="AE91" s="1">
        <v>31.4</v>
      </c>
      <c r="AF91" s="1" t="s">
        <v>664</v>
      </c>
      <c r="AG91" s="1" t="s">
        <v>270</v>
      </c>
      <c r="AH91" t="s">
        <v>1631</v>
      </c>
      <c r="AI91" s="1" t="s">
        <v>272</v>
      </c>
      <c r="AJ91" t="s">
        <v>1632</v>
      </c>
      <c r="AK91" s="29" t="s">
        <v>274</v>
      </c>
      <c r="AL91" s="10" t="s">
        <v>1633</v>
      </c>
      <c r="AM91" t="s">
        <v>375</v>
      </c>
      <c r="AN91" s="10" t="s">
        <v>277</v>
      </c>
      <c r="AO91" s="17">
        <v>1</v>
      </c>
      <c r="AP91" s="17">
        <v>0</v>
      </c>
      <c r="AQ91" s="17">
        <v>6</v>
      </c>
      <c r="AR91" s="17">
        <v>3</v>
      </c>
      <c r="AS91" s="17">
        <v>5</v>
      </c>
      <c r="AT91" s="17">
        <v>591</v>
      </c>
      <c r="AU91" s="17">
        <v>591</v>
      </c>
      <c r="AV91" s="17">
        <v>591</v>
      </c>
      <c r="AW91" t="s">
        <v>1308</v>
      </c>
      <c r="AX91" t="s">
        <v>1634</v>
      </c>
      <c r="AY91" s="1" t="s">
        <v>464</v>
      </c>
      <c r="AZ91" t="s">
        <v>1635</v>
      </c>
      <c r="BA91" t="s">
        <v>284</v>
      </c>
      <c r="BB91" t="s">
        <v>277</v>
      </c>
      <c r="BC91" t="s">
        <v>284</v>
      </c>
      <c r="BD91" t="s">
        <v>277</v>
      </c>
      <c r="BE91" t="s">
        <v>284</v>
      </c>
      <c r="BF91" t="s">
        <v>277</v>
      </c>
      <c r="BG91" t="s">
        <v>284</v>
      </c>
      <c r="BH91" t="s">
        <v>277</v>
      </c>
      <c r="BI91" t="s">
        <v>284</v>
      </c>
      <c r="BJ91" t="s">
        <v>277</v>
      </c>
      <c r="BK91" t="s">
        <v>284</v>
      </c>
      <c r="BL91" t="s">
        <v>277</v>
      </c>
      <c r="BM91" t="s">
        <v>284</v>
      </c>
      <c r="BN91" t="s">
        <v>277</v>
      </c>
      <c r="BO91" t="s">
        <v>284</v>
      </c>
      <c r="BP91" t="s">
        <v>277</v>
      </c>
      <c r="BQ91" s="2" t="s">
        <v>362</v>
      </c>
      <c r="BR91" t="s">
        <v>277</v>
      </c>
      <c r="BS91" s="2" t="s">
        <v>362</v>
      </c>
      <c r="BT91" t="s">
        <v>277</v>
      </c>
      <c r="BU91" t="s">
        <v>284</v>
      </c>
      <c r="BV91" t="s">
        <v>277</v>
      </c>
      <c r="BW91" t="s">
        <v>284</v>
      </c>
      <c r="BX91" t="s">
        <v>277</v>
      </c>
      <c r="BY91" t="s">
        <v>284</v>
      </c>
      <c r="BZ91" t="s">
        <v>277</v>
      </c>
      <c r="CA91" t="s">
        <v>1636</v>
      </c>
      <c r="CB91" t="s">
        <v>1637</v>
      </c>
      <c r="CC91" t="s">
        <v>1635</v>
      </c>
      <c r="CD91" s="17">
        <v>337</v>
      </c>
      <c r="CE91" s="17">
        <v>358</v>
      </c>
      <c r="CF91" s="48">
        <f t="shared" si="3"/>
        <v>0.5151079136690647</v>
      </c>
      <c r="CG91" s="48">
        <f>IF(Data!$CB91="NA",".",Data!$CF91-(1-Data!$CF91))</f>
        <v>0.030215827338129442</v>
      </c>
      <c r="CH91" s="10" t="s">
        <v>1638</v>
      </c>
      <c r="CI91" s="17">
        <v>0</v>
      </c>
      <c r="CJ91" s="17">
        <v>1</v>
      </c>
      <c r="CK91" s="17">
        <v>1</v>
      </c>
      <c r="CL91" s="10" t="s">
        <v>303</v>
      </c>
      <c r="CM91" s="10" t="s">
        <v>298</v>
      </c>
      <c r="CN91" s="10" t="s">
        <v>299</v>
      </c>
      <c r="CO91" s="10" t="s">
        <v>299</v>
      </c>
      <c r="CP91" s="10" t="s">
        <v>299</v>
      </c>
      <c r="CQ91" s="10" t="s">
        <v>299</v>
      </c>
      <c r="CR91" s="10" t="s">
        <v>299</v>
      </c>
      <c r="CS91" s="10" t="s">
        <v>298</v>
      </c>
      <c r="CT91" s="10" t="s">
        <v>538</v>
      </c>
      <c r="CU91" s="10" t="s">
        <v>298</v>
      </c>
      <c r="CV91" s="10" t="s">
        <v>299</v>
      </c>
      <c r="CW91" s="10" t="s">
        <v>298</v>
      </c>
      <c r="CX91" s="10" t="s">
        <v>298</v>
      </c>
      <c r="CY91" s="10" t="s">
        <v>298</v>
      </c>
      <c r="CZ91" s="10" t="s">
        <v>298</v>
      </c>
      <c r="DA91" s="10" t="s">
        <v>298</v>
      </c>
      <c r="DB91" s="10" t="s">
        <v>298</v>
      </c>
      <c r="DC91" s="10" t="s">
        <v>298</v>
      </c>
      <c r="DD91" s="10" t="s">
        <v>298</v>
      </c>
      <c r="DE91" s="10" t="s">
        <v>299</v>
      </c>
      <c r="DF91" s="10" t="s">
        <v>299</v>
      </c>
      <c r="DG91" s="10" t="s">
        <v>298</v>
      </c>
      <c r="DH91" s="10" t="s">
        <v>298</v>
      </c>
      <c r="DI91" s="43" t="s">
        <v>298</v>
      </c>
      <c r="DJ91" s="1" t="s">
        <v>277</v>
      </c>
      <c r="DK91" s="1" t="s">
        <v>277</v>
      </c>
      <c r="DL91" s="1" t="s">
        <v>278</v>
      </c>
      <c r="DM91" s="1" t="s">
        <v>278</v>
      </c>
      <c r="DN91" s="48" t="s">
        <v>278</v>
      </c>
      <c r="DO91" s="48" t="s">
        <v>278</v>
      </c>
      <c r="DP91" s="1" t="s">
        <v>277</v>
      </c>
      <c r="DQ91" s="17" t="s">
        <v>278</v>
      </c>
      <c r="DR91" s="17" t="s">
        <v>278</v>
      </c>
      <c r="DS91" s="17" t="s">
        <v>278</v>
      </c>
      <c r="DT91" s="1" t="s">
        <v>277</v>
      </c>
      <c r="DU91" s="1" t="s">
        <v>277</v>
      </c>
      <c r="DV91" s="1" t="s">
        <v>277</v>
      </c>
      <c r="DW91" s="1" t="s">
        <v>277</v>
      </c>
      <c r="DX91" s="1" t="s">
        <v>277</v>
      </c>
      <c r="DY91" s="1" t="s">
        <v>277</v>
      </c>
      <c r="DZ91" s="1" t="s">
        <v>277</v>
      </c>
      <c r="EA91" s="1" t="s">
        <v>277</v>
      </c>
      <c r="EB91" s="1" t="s">
        <v>277</v>
      </c>
      <c r="EC91" s="1" t="s">
        <v>277</v>
      </c>
      <c r="ED91" s="1" t="s">
        <v>277</v>
      </c>
      <c r="EE91" s="1" t="s">
        <v>277</v>
      </c>
      <c r="EF91" s="1" t="s">
        <v>277</v>
      </c>
      <c r="EG91" s="1" t="s">
        <v>277</v>
      </c>
      <c r="EH91" s="1" t="s">
        <v>277</v>
      </c>
      <c r="EI91" s="1" t="s">
        <v>277</v>
      </c>
      <c r="EJ91" s="1" t="s">
        <v>277</v>
      </c>
      <c r="EK91" s="1" t="s">
        <v>277</v>
      </c>
      <c r="EL91" s="1" t="s">
        <v>277</v>
      </c>
      <c r="EM91" s="1" t="s">
        <v>277</v>
      </c>
      <c r="EN91" s="1" t="s">
        <v>277</v>
      </c>
      <c r="EO91" s="1" t="s">
        <v>277</v>
      </c>
      <c r="EP91" s="1" t="s">
        <v>277</v>
      </c>
      <c r="EQ91" s="1" t="s">
        <v>277</v>
      </c>
    </row>
    <row r="92" spans="1:147" ht="15" customHeight="1">
      <c r="A92" s="30" t="s">
        <v>1130</v>
      </c>
      <c r="B92" s="1">
        <v>89</v>
      </c>
      <c r="C92" s="30">
        <v>73</v>
      </c>
      <c r="D92" s="10">
        <v>2018</v>
      </c>
      <c r="E92" s="29" t="s">
        <v>1639</v>
      </c>
      <c r="F92" s="29" t="s">
        <v>1639</v>
      </c>
      <c r="G92" s="10">
        <v>1</v>
      </c>
      <c r="H92" s="10">
        <v>1</v>
      </c>
      <c r="I92" s="10">
        <v>1</v>
      </c>
      <c r="J92" s="29" t="s">
        <v>1640</v>
      </c>
      <c r="K92" s="29" t="s">
        <v>1641</v>
      </c>
      <c r="L92" s="1" t="s">
        <v>258</v>
      </c>
      <c r="M92" t="s">
        <v>1642</v>
      </c>
      <c r="N92" s="31">
        <v>3</v>
      </c>
      <c r="O92" s="1" t="s">
        <v>808</v>
      </c>
      <c r="P92" s="1" t="s">
        <v>431</v>
      </c>
      <c r="Q92" s="29" t="s">
        <v>1643</v>
      </c>
      <c r="R92" s="29" t="s">
        <v>1737</v>
      </c>
      <c r="S92" s="1" t="s">
        <v>263</v>
      </c>
      <c r="T92" s="1" t="s">
        <v>264</v>
      </c>
      <c r="U92" s="1" t="s">
        <v>346</v>
      </c>
      <c r="V92" t="s">
        <v>1202</v>
      </c>
      <c r="W92" t="s">
        <v>267</v>
      </c>
      <c r="X92" s="10">
        <f>(14.96+13.55+15.02+15.02)/4</f>
        <v>14.6375</v>
      </c>
      <c r="Y92" s="78">
        <f>(3.15+3.06+3.93+3.93)/4</f>
        <v>3.5175</v>
      </c>
      <c r="Z92" s="10">
        <f>(2.25+2.27+2.54+2.54)/4</f>
        <v>2.4</v>
      </c>
      <c r="AA92" s="16">
        <f>(635+651+650+650)/4</f>
        <v>646.5</v>
      </c>
      <c r="AB92" s="29" t="s">
        <v>1644</v>
      </c>
      <c r="AC92" s="1">
        <v>1975</v>
      </c>
      <c r="AD92" s="10">
        <v>2016</v>
      </c>
      <c r="AE92" s="6">
        <f>(3+9+29+29)/4</f>
        <v>17.5</v>
      </c>
      <c r="AF92" s="1" t="s">
        <v>269</v>
      </c>
      <c r="AG92" s="1" t="s">
        <v>270</v>
      </c>
      <c r="AH92" s="29" t="s">
        <v>1645</v>
      </c>
      <c r="AI92" s="1" t="s">
        <v>272</v>
      </c>
      <c r="AJ92" s="29" t="s">
        <v>1646</v>
      </c>
      <c r="AK92" t="s">
        <v>439</v>
      </c>
      <c r="AL92" s="10" t="s">
        <v>1647</v>
      </c>
      <c r="AM92" t="s">
        <v>375</v>
      </c>
      <c r="AN92" s="10" t="s">
        <v>277</v>
      </c>
      <c r="AO92" s="17">
        <v>1</v>
      </c>
      <c r="AP92" s="17">
        <v>4</v>
      </c>
      <c r="AQ92" s="17">
        <v>19</v>
      </c>
      <c r="AR92" s="17">
        <v>6</v>
      </c>
      <c r="AS92" s="17" t="s">
        <v>278</v>
      </c>
      <c r="AT92" s="17">
        <v>1669</v>
      </c>
      <c r="AU92" s="17">
        <v>1669</v>
      </c>
      <c r="AV92" s="17">
        <v>1669</v>
      </c>
      <c r="AW92" s="29" t="s">
        <v>1648</v>
      </c>
      <c r="AX92" s="29" t="s">
        <v>1648</v>
      </c>
      <c r="AY92" s="1" t="s">
        <v>330</v>
      </c>
      <c r="AZ92" s="29" t="s">
        <v>1649</v>
      </c>
      <c r="BA92" t="s">
        <v>284</v>
      </c>
      <c r="BB92" t="s">
        <v>277</v>
      </c>
      <c r="BC92" t="s">
        <v>284</v>
      </c>
      <c r="BD92" t="s">
        <v>277</v>
      </c>
      <c r="BE92" t="s">
        <v>284</v>
      </c>
      <c r="BF92" t="s">
        <v>277</v>
      </c>
      <c r="BG92" s="3" t="s">
        <v>919</v>
      </c>
      <c r="BH92" s="29" t="s">
        <v>1650</v>
      </c>
      <c r="BI92" t="s">
        <v>284</v>
      </c>
      <c r="BJ92" t="s">
        <v>277</v>
      </c>
      <c r="BK92" t="s">
        <v>284</v>
      </c>
      <c r="BL92" t="s">
        <v>277</v>
      </c>
      <c r="BM92" t="s">
        <v>284</v>
      </c>
      <c r="BN92" t="s">
        <v>277</v>
      </c>
      <c r="BO92" t="s">
        <v>284</v>
      </c>
      <c r="BP92" t="s">
        <v>277</v>
      </c>
      <c r="BQ92" s="2" t="s">
        <v>362</v>
      </c>
      <c r="BR92" t="s">
        <v>277</v>
      </c>
      <c r="BS92" s="2" t="s">
        <v>362</v>
      </c>
      <c r="BT92" t="s">
        <v>277</v>
      </c>
      <c r="BU92" t="s">
        <v>284</v>
      </c>
      <c r="BV92" t="s">
        <v>277</v>
      </c>
      <c r="BW92" t="s">
        <v>284</v>
      </c>
      <c r="BX92" t="s">
        <v>277</v>
      </c>
      <c r="BY92" t="s">
        <v>284</v>
      </c>
      <c r="BZ92" t="s">
        <v>277</v>
      </c>
      <c r="CA92" s="53" t="s">
        <v>277</v>
      </c>
      <c r="CB92" s="29" t="s">
        <v>1651</v>
      </c>
      <c r="CC92" s="29" t="s">
        <v>1649</v>
      </c>
      <c r="CD92" s="17">
        <v>216.7</v>
      </c>
      <c r="CE92" s="17">
        <v>212.1</v>
      </c>
      <c r="CF92" s="48">
        <f t="shared" si="3"/>
        <v>0.49463619402985076</v>
      </c>
      <c r="CG92" s="48">
        <f>IF(Data!$CB92="NA",".",Data!$CF92-(1-Data!$CF92))</f>
        <v>-0.010727611940298531</v>
      </c>
      <c r="CH92" s="29" t="s">
        <v>1652</v>
      </c>
      <c r="CI92" s="17">
        <v>0</v>
      </c>
      <c r="CJ92" s="17">
        <v>1</v>
      </c>
      <c r="CK92" s="17">
        <v>1</v>
      </c>
      <c r="CL92" s="10" t="s">
        <v>303</v>
      </c>
      <c r="CM92" s="10" t="s">
        <v>298</v>
      </c>
      <c r="CN92" s="10" t="s">
        <v>299</v>
      </c>
      <c r="CO92" s="10" t="s">
        <v>299</v>
      </c>
      <c r="CP92" s="10" t="s">
        <v>299</v>
      </c>
      <c r="CQ92" s="10" t="s">
        <v>299</v>
      </c>
      <c r="CR92" s="10" t="s">
        <v>299</v>
      </c>
      <c r="CS92" s="10" t="s">
        <v>298</v>
      </c>
      <c r="CT92" s="10" t="s">
        <v>366</v>
      </c>
      <c r="CU92" s="10" t="s">
        <v>298</v>
      </c>
      <c r="CV92" s="10" t="s">
        <v>298</v>
      </c>
      <c r="CW92" s="10" t="s">
        <v>299</v>
      </c>
      <c r="CX92" s="10" t="s">
        <v>299</v>
      </c>
      <c r="CY92" s="10" t="s">
        <v>298</v>
      </c>
      <c r="CZ92" s="10" t="s">
        <v>300</v>
      </c>
      <c r="DA92" s="10" t="s">
        <v>298</v>
      </c>
      <c r="DB92" s="10" t="s">
        <v>298</v>
      </c>
      <c r="DC92" s="10" t="s">
        <v>298</v>
      </c>
      <c r="DD92" s="43" t="s">
        <v>298</v>
      </c>
      <c r="DE92" s="10" t="s">
        <v>298</v>
      </c>
      <c r="DF92" s="10" t="s">
        <v>298</v>
      </c>
      <c r="DG92" s="10" t="s">
        <v>299</v>
      </c>
      <c r="DH92" s="10" t="s">
        <v>298</v>
      </c>
      <c r="DI92" s="10" t="s">
        <v>298</v>
      </c>
      <c r="DJ92" s="1" t="s">
        <v>277</v>
      </c>
      <c r="DK92" s="1" t="s">
        <v>277</v>
      </c>
      <c r="DL92" s="1" t="s">
        <v>278</v>
      </c>
      <c r="DM92" s="1" t="s">
        <v>278</v>
      </c>
      <c r="DN92" s="48" t="s">
        <v>278</v>
      </c>
      <c r="DO92" s="48" t="s">
        <v>278</v>
      </c>
      <c r="DP92" s="1" t="s">
        <v>277</v>
      </c>
      <c r="DQ92" s="17" t="s">
        <v>278</v>
      </c>
      <c r="DR92" s="17" t="s">
        <v>278</v>
      </c>
      <c r="DS92" s="17" t="s">
        <v>278</v>
      </c>
      <c r="DT92" s="1" t="s">
        <v>277</v>
      </c>
      <c r="DU92" s="1" t="s">
        <v>277</v>
      </c>
      <c r="DV92" s="1" t="s">
        <v>277</v>
      </c>
      <c r="DW92" s="1" t="s">
        <v>277</v>
      </c>
      <c r="DX92" s="1" t="s">
        <v>277</v>
      </c>
      <c r="DY92" s="1" t="s">
        <v>277</v>
      </c>
      <c r="DZ92" s="1" t="s">
        <v>277</v>
      </c>
      <c r="EA92" s="1" t="s">
        <v>277</v>
      </c>
      <c r="EB92" s="1" t="s">
        <v>277</v>
      </c>
      <c r="EC92" s="1" t="s">
        <v>277</v>
      </c>
      <c r="ED92" s="1" t="s">
        <v>277</v>
      </c>
      <c r="EE92" s="1" t="s">
        <v>277</v>
      </c>
      <c r="EF92" s="1" t="s">
        <v>277</v>
      </c>
      <c r="EG92" s="1" t="s">
        <v>277</v>
      </c>
      <c r="EH92" s="1" t="s">
        <v>277</v>
      </c>
      <c r="EI92" s="1" t="s">
        <v>277</v>
      </c>
      <c r="EJ92" s="1" t="s">
        <v>277</v>
      </c>
      <c r="EK92" s="1" t="s">
        <v>277</v>
      </c>
      <c r="EL92" s="1" t="s">
        <v>277</v>
      </c>
      <c r="EM92" s="1" t="s">
        <v>277</v>
      </c>
      <c r="EN92" s="1" t="s">
        <v>277</v>
      </c>
      <c r="EO92" s="1" t="s">
        <v>277</v>
      </c>
      <c r="EP92" s="1" t="s">
        <v>277</v>
      </c>
      <c r="EQ92" s="1" t="s">
        <v>277</v>
      </c>
    </row>
    <row r="93" spans="1:147" ht="15" customHeight="1">
      <c r="A93" s="30" t="s">
        <v>1130</v>
      </c>
      <c r="B93" s="1">
        <v>90</v>
      </c>
      <c r="C93" s="30">
        <v>74</v>
      </c>
      <c r="D93" s="10">
        <v>2016</v>
      </c>
      <c r="E93" s="29" t="s">
        <v>1653</v>
      </c>
      <c r="F93" s="29" t="s">
        <v>1654</v>
      </c>
      <c r="G93" s="10">
        <v>1</v>
      </c>
      <c r="H93" s="10">
        <v>3</v>
      </c>
      <c r="I93" s="10">
        <v>0</v>
      </c>
      <c r="J93" s="29" t="s">
        <v>1655</v>
      </c>
      <c r="K93" s="29" t="s">
        <v>1656</v>
      </c>
      <c r="L93" s="1" t="s">
        <v>258</v>
      </c>
      <c r="M93" t="s">
        <v>1657</v>
      </c>
      <c r="N93" s="31">
        <v>2</v>
      </c>
      <c r="O93" s="29" t="s">
        <v>501</v>
      </c>
      <c r="P93" s="1" t="s">
        <v>502</v>
      </c>
      <c r="Q93" s="29" t="s">
        <v>516</v>
      </c>
      <c r="R93" s="29" t="s">
        <v>1728</v>
      </c>
      <c r="S93" s="1" t="s">
        <v>325</v>
      </c>
      <c r="T93" s="1" t="s">
        <v>517</v>
      </c>
      <c r="U93" s="1" t="s">
        <v>265</v>
      </c>
      <c r="V93" s="1" t="s">
        <v>503</v>
      </c>
      <c r="W93" t="s">
        <v>267</v>
      </c>
      <c r="X93" s="10">
        <v>12.42</v>
      </c>
      <c r="Y93" s="10">
        <v>3.43</v>
      </c>
      <c r="Z93" s="10">
        <v>2.41</v>
      </c>
      <c r="AA93" s="10">
        <v>308</v>
      </c>
      <c r="AB93" s="10">
        <v>2014</v>
      </c>
      <c r="AC93" s="1">
        <v>2014</v>
      </c>
      <c r="AD93" s="10">
        <v>2014</v>
      </c>
      <c r="AE93" s="1">
        <v>25.1</v>
      </c>
      <c r="AF93" s="1" t="s">
        <v>269</v>
      </c>
      <c r="AG93" s="29" t="s">
        <v>270</v>
      </c>
      <c r="AH93" s="52" t="s">
        <v>1153</v>
      </c>
      <c r="AI93" s="29" t="s">
        <v>272</v>
      </c>
      <c r="AJ93" s="29" t="s">
        <v>1658</v>
      </c>
      <c r="AK93" s="29" t="s">
        <v>439</v>
      </c>
      <c r="AL93" s="29" t="s">
        <v>1659</v>
      </c>
      <c r="AM93" s="29" t="s">
        <v>375</v>
      </c>
      <c r="AN93" s="10" t="s">
        <v>277</v>
      </c>
      <c r="AO93" s="17">
        <v>1</v>
      </c>
      <c r="AP93" s="17">
        <v>1</v>
      </c>
      <c r="AQ93" s="17">
        <v>5</v>
      </c>
      <c r="AR93" s="17">
        <v>2</v>
      </c>
      <c r="AS93" s="17">
        <v>2</v>
      </c>
      <c r="AT93" s="17">
        <v>325</v>
      </c>
      <c r="AU93" s="17">
        <v>325</v>
      </c>
      <c r="AV93" s="17">
        <v>325</v>
      </c>
      <c r="AW93" s="29" t="s">
        <v>1660</v>
      </c>
      <c r="AX93" s="29" t="s">
        <v>1661</v>
      </c>
      <c r="AY93" s="29" t="s">
        <v>282</v>
      </c>
      <c r="AZ93" s="29" t="s">
        <v>1662</v>
      </c>
      <c r="BA93" t="s">
        <v>284</v>
      </c>
      <c r="BB93" t="s">
        <v>277</v>
      </c>
      <c r="BC93" t="s">
        <v>284</v>
      </c>
      <c r="BD93" t="s">
        <v>277</v>
      </c>
      <c r="BE93" t="s">
        <v>284</v>
      </c>
      <c r="BF93" t="s">
        <v>277</v>
      </c>
      <c r="BG93" t="s">
        <v>289</v>
      </c>
      <c r="BH93" s="54" t="s">
        <v>1663</v>
      </c>
      <c r="BI93" s="23" t="s">
        <v>289</v>
      </c>
      <c r="BJ93" s="54" t="s">
        <v>1663</v>
      </c>
      <c r="BK93" s="23" t="s">
        <v>289</v>
      </c>
      <c r="BL93" s="54" t="s">
        <v>1663</v>
      </c>
      <c r="BM93" t="s">
        <v>284</v>
      </c>
      <c r="BN93" t="s">
        <v>277</v>
      </c>
      <c r="BO93" t="s">
        <v>284</v>
      </c>
      <c r="BP93" t="s">
        <v>277</v>
      </c>
      <c r="BQ93" s="2" t="s">
        <v>362</v>
      </c>
      <c r="BR93" t="s">
        <v>277</v>
      </c>
      <c r="BS93" s="2" t="s">
        <v>362</v>
      </c>
      <c r="BT93" t="s">
        <v>277</v>
      </c>
      <c r="BU93" t="s">
        <v>284</v>
      </c>
      <c r="BV93" t="s">
        <v>277</v>
      </c>
      <c r="BW93" t="s">
        <v>289</v>
      </c>
      <c r="BX93" s="54" t="s">
        <v>1663</v>
      </c>
      <c r="BY93" t="s">
        <v>284</v>
      </c>
      <c r="BZ93" t="s">
        <v>277</v>
      </c>
      <c r="CA93" s="53" t="s">
        <v>1664</v>
      </c>
      <c r="CB93" s="29" t="s">
        <v>1665</v>
      </c>
      <c r="CC93" s="29" t="s">
        <v>1666</v>
      </c>
      <c r="CD93" s="17">
        <v>1.6</v>
      </c>
      <c r="CE93" s="17">
        <v>1.21</v>
      </c>
      <c r="CF93" s="48">
        <f t="shared" si="3"/>
        <v>0.4306049822064057</v>
      </c>
      <c r="CG93" s="48">
        <f>IF(Data!$CB93="NA",".",Data!$CF93-(1-Data!$CF93))</f>
        <v>-0.13879003558718855</v>
      </c>
      <c r="CH93" s="29" t="s">
        <v>1667</v>
      </c>
      <c r="CI93" s="17">
        <v>0</v>
      </c>
      <c r="CJ93" s="17">
        <v>1</v>
      </c>
      <c r="CK93" s="17">
        <v>1</v>
      </c>
      <c r="CL93" s="10" t="s">
        <v>303</v>
      </c>
      <c r="CM93" s="10" t="s">
        <v>298</v>
      </c>
      <c r="CN93" s="10" t="s">
        <v>299</v>
      </c>
      <c r="CO93" s="10" t="s">
        <v>299</v>
      </c>
      <c r="CP93" s="10" t="s">
        <v>299</v>
      </c>
      <c r="CQ93" s="10" t="s">
        <v>299</v>
      </c>
      <c r="CR93" s="10" t="s">
        <v>298</v>
      </c>
      <c r="CS93" s="10" t="s">
        <v>298</v>
      </c>
      <c r="CT93" s="10" t="s">
        <v>366</v>
      </c>
      <c r="CU93" s="10" t="s">
        <v>298</v>
      </c>
      <c r="CV93" s="10" t="s">
        <v>298</v>
      </c>
      <c r="CW93" s="10" t="s">
        <v>298</v>
      </c>
      <c r="CX93" s="10" t="s">
        <v>298</v>
      </c>
      <c r="CY93" s="10" t="s">
        <v>298</v>
      </c>
      <c r="CZ93" s="10" t="s">
        <v>300</v>
      </c>
      <c r="DA93" s="10" t="s">
        <v>298</v>
      </c>
      <c r="DB93" s="10" t="s">
        <v>298</v>
      </c>
      <c r="DC93" s="10" t="s">
        <v>298</v>
      </c>
      <c r="DD93" s="43" t="s">
        <v>298</v>
      </c>
      <c r="DE93" s="10" t="s">
        <v>298</v>
      </c>
      <c r="DF93" s="10" t="s">
        <v>298</v>
      </c>
      <c r="DG93" s="10" t="s">
        <v>299</v>
      </c>
      <c r="DH93" s="10" t="s">
        <v>298</v>
      </c>
      <c r="DI93" s="10" t="s">
        <v>298</v>
      </c>
      <c r="DJ93" s="1" t="s">
        <v>277</v>
      </c>
      <c r="DK93" s="1" t="s">
        <v>277</v>
      </c>
      <c r="DL93" s="1" t="s">
        <v>278</v>
      </c>
      <c r="DM93" s="1" t="s">
        <v>278</v>
      </c>
      <c r="DN93" s="48" t="s">
        <v>278</v>
      </c>
      <c r="DO93" s="48" t="s">
        <v>278</v>
      </c>
      <c r="DP93" s="1" t="s">
        <v>277</v>
      </c>
      <c r="DQ93" s="17" t="s">
        <v>278</v>
      </c>
      <c r="DR93" s="17" t="s">
        <v>278</v>
      </c>
      <c r="DS93" s="17" t="s">
        <v>278</v>
      </c>
      <c r="DT93" s="1" t="s">
        <v>277</v>
      </c>
      <c r="DU93" s="1" t="s">
        <v>277</v>
      </c>
      <c r="DV93" s="1" t="s">
        <v>277</v>
      </c>
      <c r="DW93" s="1" t="s">
        <v>277</v>
      </c>
      <c r="DX93" s="1" t="s">
        <v>277</v>
      </c>
      <c r="DY93" s="1" t="s">
        <v>277</v>
      </c>
      <c r="DZ93" s="1" t="s">
        <v>277</v>
      </c>
      <c r="EA93" s="1" t="s">
        <v>277</v>
      </c>
      <c r="EB93" s="1" t="s">
        <v>277</v>
      </c>
      <c r="EC93" s="1" t="s">
        <v>277</v>
      </c>
      <c r="ED93" s="1" t="s">
        <v>277</v>
      </c>
      <c r="EE93" s="1" t="s">
        <v>277</v>
      </c>
      <c r="EF93" s="1" t="s">
        <v>277</v>
      </c>
      <c r="EG93" s="1" t="s">
        <v>277</v>
      </c>
      <c r="EH93" s="1" t="s">
        <v>277</v>
      </c>
      <c r="EI93" s="1" t="s">
        <v>277</v>
      </c>
      <c r="EJ93" s="1" t="s">
        <v>277</v>
      </c>
      <c r="EK93" s="1" t="s">
        <v>277</v>
      </c>
      <c r="EL93" s="1" t="s">
        <v>277</v>
      </c>
      <c r="EM93" s="1" t="s">
        <v>277</v>
      </c>
      <c r="EN93" s="1" t="s">
        <v>277</v>
      </c>
      <c r="EO93" s="1" t="s">
        <v>277</v>
      </c>
      <c r="EP93" s="1" t="s">
        <v>277</v>
      </c>
      <c r="EQ93" s="1" t="s">
        <v>277</v>
      </c>
    </row>
    <row r="94" ht="15" customHeight="1">
      <c r="AB94" s="10"/>
    </row>
    <row r="95" ht="15" customHeight="1">
      <c r="AB95" s="10"/>
    </row>
    <row r="96" ht="15" customHeight="1">
      <c r="AB96" s="10"/>
    </row>
  </sheetData>
  <sheetProtection/>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1:AY15"/>
  <sheetViews>
    <sheetView zoomScalePageLayoutView="0" workbookViewId="0" topLeftCell="AC1">
      <selection activeCell="CS4" sqref="CS4"/>
    </sheetView>
  </sheetViews>
  <sheetFormatPr defaultColWidth="9.140625" defaultRowHeight="15"/>
  <cols>
    <col min="1" max="1" width="18.140625" style="0" customWidth="1"/>
    <col min="4" max="4" width="12.8515625" style="0" customWidth="1"/>
    <col min="13" max="13" width="8.8515625" style="0" customWidth="1"/>
    <col min="20" max="21" width="8.7109375" style="0" customWidth="1"/>
    <col min="22" max="22" width="8.8515625" style="0" customWidth="1"/>
    <col min="23" max="23" width="9.8515625" style="0" customWidth="1"/>
    <col min="24" max="24" width="8.8515625" style="0" customWidth="1"/>
    <col min="48" max="48" width="10.57421875" style="0" customWidth="1"/>
  </cols>
  <sheetData>
    <row r="1" spans="1:51" s="9" customFormat="1" ht="15">
      <c r="A1" s="9" t="s">
        <v>125</v>
      </c>
      <c r="B1" s="9" t="s">
        <v>129</v>
      </c>
      <c r="C1" s="9" t="s">
        <v>131</v>
      </c>
      <c r="D1" s="9" t="s">
        <v>132</v>
      </c>
      <c r="E1" s="9" t="s">
        <v>133</v>
      </c>
      <c r="F1" s="9" t="s">
        <v>135</v>
      </c>
      <c r="G1" s="9" t="s">
        <v>144</v>
      </c>
      <c r="H1" s="9" t="s">
        <v>145</v>
      </c>
      <c r="I1" s="9" t="s">
        <v>147</v>
      </c>
      <c r="J1" s="9" t="s">
        <v>149</v>
      </c>
      <c r="K1" s="9" t="s">
        <v>151</v>
      </c>
      <c r="L1" s="9" t="s">
        <v>113</v>
      </c>
      <c r="M1" s="11" t="s">
        <v>163</v>
      </c>
      <c r="N1" s="11" t="s">
        <v>165</v>
      </c>
      <c r="O1" s="11" t="s">
        <v>167</v>
      </c>
      <c r="P1" s="11" t="s">
        <v>169</v>
      </c>
      <c r="Q1" s="11" t="s">
        <v>171</v>
      </c>
      <c r="R1" s="11" t="s">
        <v>173</v>
      </c>
      <c r="S1" s="11" t="s">
        <v>175</v>
      </c>
      <c r="T1" s="11" t="s">
        <v>177</v>
      </c>
      <c r="U1" s="11" t="s">
        <v>179</v>
      </c>
      <c r="V1" s="11" t="s">
        <v>181</v>
      </c>
      <c r="W1" s="11" t="s">
        <v>183</v>
      </c>
      <c r="X1" s="11" t="s">
        <v>185</v>
      </c>
      <c r="Y1" s="11" t="s">
        <v>187</v>
      </c>
      <c r="Z1" s="11" t="s">
        <v>189</v>
      </c>
      <c r="AA1" s="11" t="s">
        <v>114</v>
      </c>
      <c r="AB1" s="62" t="s">
        <v>201</v>
      </c>
      <c r="AC1" s="62" t="s">
        <v>202</v>
      </c>
      <c r="AD1" s="62" t="s">
        <v>203</v>
      </c>
      <c r="AE1" s="62" t="s">
        <v>204</v>
      </c>
      <c r="AF1" s="62" t="s">
        <v>205</v>
      </c>
      <c r="AG1" s="62" t="s">
        <v>206</v>
      </c>
      <c r="AH1" s="62" t="s">
        <v>207</v>
      </c>
      <c r="AI1" s="64" t="s">
        <v>208</v>
      </c>
      <c r="AJ1" s="64" t="s">
        <v>209</v>
      </c>
      <c r="AK1" s="64" t="s">
        <v>210</v>
      </c>
      <c r="AL1" s="64" t="s">
        <v>211</v>
      </c>
      <c r="AM1" s="64" t="s">
        <v>212</v>
      </c>
      <c r="AN1" s="64" t="s">
        <v>213</v>
      </c>
      <c r="AO1" s="64" t="s">
        <v>214</v>
      </c>
      <c r="AP1" s="64" t="s">
        <v>215</v>
      </c>
      <c r="AQ1" s="64" t="s">
        <v>216</v>
      </c>
      <c r="AR1" s="64" t="s">
        <v>217</v>
      </c>
      <c r="AS1" s="64" t="s">
        <v>218</v>
      </c>
      <c r="AT1" s="64" t="s">
        <v>219</v>
      </c>
      <c r="AU1" s="64" t="s">
        <v>220</v>
      </c>
      <c r="AV1" s="63" t="s">
        <v>221</v>
      </c>
      <c r="AW1" s="63" t="s">
        <v>222</v>
      </c>
      <c r="AX1" s="63" t="s">
        <v>223</v>
      </c>
      <c r="AY1" s="63" t="s">
        <v>224</v>
      </c>
    </row>
    <row r="2" spans="1:51" ht="15">
      <c r="A2" t="s">
        <v>258</v>
      </c>
      <c r="B2" t="s">
        <v>261</v>
      </c>
      <c r="C2" t="s">
        <v>325</v>
      </c>
      <c r="D2" t="s">
        <v>433</v>
      </c>
      <c r="E2" t="s">
        <v>265</v>
      </c>
      <c r="F2" t="s">
        <v>267</v>
      </c>
      <c r="G2" t="s">
        <v>269</v>
      </c>
      <c r="H2" t="s">
        <v>270</v>
      </c>
      <c r="I2" t="s">
        <v>272</v>
      </c>
      <c r="J2" t="s">
        <v>373</v>
      </c>
      <c r="K2" t="s">
        <v>873</v>
      </c>
      <c r="L2" t="s">
        <v>253</v>
      </c>
      <c r="M2" t="s">
        <v>352</v>
      </c>
      <c r="N2" t="s">
        <v>990</v>
      </c>
      <c r="O2" t="s">
        <v>285</v>
      </c>
      <c r="P2" t="s">
        <v>287</v>
      </c>
      <c r="Q2" t="s">
        <v>553</v>
      </c>
      <c r="R2" t="s">
        <v>359</v>
      </c>
      <c r="S2" t="s">
        <v>403</v>
      </c>
      <c r="T2" t="s">
        <v>686</v>
      </c>
      <c r="U2" t="s">
        <v>386</v>
      </c>
      <c r="V2" t="s">
        <v>291</v>
      </c>
      <c r="W2" t="s">
        <v>293</v>
      </c>
      <c r="X2" t="s">
        <v>558</v>
      </c>
      <c r="Y2" t="s">
        <v>560</v>
      </c>
      <c r="Z2" t="s">
        <v>388</v>
      </c>
      <c r="AA2" t="s">
        <v>254</v>
      </c>
      <c r="AB2" t="s">
        <v>303</v>
      </c>
      <c r="AC2" t="s">
        <v>298</v>
      </c>
      <c r="AD2" t="s">
        <v>298</v>
      </c>
      <c r="AE2" t="s">
        <v>298</v>
      </c>
      <c r="AF2" t="s">
        <v>298</v>
      </c>
      <c r="AG2" t="s">
        <v>298</v>
      </c>
      <c r="AH2" t="s">
        <v>298</v>
      </c>
      <c r="AI2" t="s">
        <v>298</v>
      </c>
      <c r="AJ2" t="s">
        <v>298</v>
      </c>
      <c r="AK2" t="s">
        <v>298</v>
      </c>
      <c r="AL2" t="s">
        <v>298</v>
      </c>
      <c r="AM2" t="s">
        <v>298</v>
      </c>
      <c r="AN2" t="s">
        <v>298</v>
      </c>
      <c r="AO2" t="s">
        <v>298</v>
      </c>
      <c r="AP2" t="s">
        <v>298</v>
      </c>
      <c r="AQ2" t="s">
        <v>298</v>
      </c>
      <c r="AR2" t="s">
        <v>298</v>
      </c>
      <c r="AS2" t="s">
        <v>298</v>
      </c>
      <c r="AT2" t="s">
        <v>298</v>
      </c>
      <c r="AU2" t="s">
        <v>298</v>
      </c>
      <c r="AV2" s="39" t="s">
        <v>298</v>
      </c>
      <c r="AW2" s="39" t="s">
        <v>298</v>
      </c>
      <c r="AX2" s="39" t="s">
        <v>298</v>
      </c>
      <c r="AY2" t="s">
        <v>298</v>
      </c>
    </row>
    <row r="3" spans="1:51" ht="15">
      <c r="A3" t="s">
        <v>1519</v>
      </c>
      <c r="B3" t="s">
        <v>431</v>
      </c>
      <c r="C3" t="s">
        <v>263</v>
      </c>
      <c r="D3" t="s">
        <v>264</v>
      </c>
      <c r="E3" t="s">
        <v>346</v>
      </c>
      <c r="F3" t="s">
        <v>697</v>
      </c>
      <c r="G3" t="s">
        <v>664</v>
      </c>
      <c r="H3" t="s">
        <v>590</v>
      </c>
      <c r="I3" t="s">
        <v>605</v>
      </c>
      <c r="J3" t="s">
        <v>715</v>
      </c>
      <c r="K3" t="s">
        <v>276</v>
      </c>
      <c r="L3" t="s">
        <v>425</v>
      </c>
      <c r="M3" t="s">
        <v>282</v>
      </c>
      <c r="N3" t="s">
        <v>1246</v>
      </c>
      <c r="O3" t="s">
        <v>1668</v>
      </c>
      <c r="P3" t="s">
        <v>1669</v>
      </c>
      <c r="Q3" t="s">
        <v>528</v>
      </c>
      <c r="R3" t="s">
        <v>530</v>
      </c>
      <c r="S3" t="s">
        <v>1670</v>
      </c>
      <c r="T3" t="s">
        <v>1250</v>
      </c>
      <c r="U3" t="s">
        <v>1671</v>
      </c>
      <c r="V3" t="s">
        <v>1398</v>
      </c>
      <c r="W3" t="s">
        <v>1672</v>
      </c>
      <c r="X3" t="s">
        <v>1673</v>
      </c>
      <c r="Y3" t="s">
        <v>1567</v>
      </c>
      <c r="Z3" t="s">
        <v>1252</v>
      </c>
      <c r="AA3" t="s">
        <v>1130</v>
      </c>
      <c r="AB3" t="s">
        <v>297</v>
      </c>
      <c r="AC3" s="39" t="s">
        <v>299</v>
      </c>
      <c r="AD3" s="39" t="s">
        <v>299</v>
      </c>
      <c r="AE3" s="39" t="s">
        <v>299</v>
      </c>
      <c r="AF3" s="39" t="s">
        <v>299</v>
      </c>
      <c r="AG3" s="39" t="s">
        <v>299</v>
      </c>
      <c r="AH3" s="39" t="s">
        <v>299</v>
      </c>
      <c r="AI3" s="39" t="s">
        <v>299</v>
      </c>
      <c r="AJ3" t="s">
        <v>366</v>
      </c>
      <c r="AK3" s="39" t="s">
        <v>299</v>
      </c>
      <c r="AL3" s="39" t="s">
        <v>299</v>
      </c>
      <c r="AM3" s="39" t="s">
        <v>299</v>
      </c>
      <c r="AN3" s="39" t="s">
        <v>299</v>
      </c>
      <c r="AO3" s="39" t="s">
        <v>299</v>
      </c>
      <c r="AP3" t="s">
        <v>300</v>
      </c>
      <c r="AQ3" s="39" t="s">
        <v>299</v>
      </c>
      <c r="AR3" s="39" t="s">
        <v>299</v>
      </c>
      <c r="AS3" s="39" t="s">
        <v>299</v>
      </c>
      <c r="AT3" s="39" t="s">
        <v>299</v>
      </c>
      <c r="AU3" s="39" t="s">
        <v>299</v>
      </c>
      <c r="AV3" s="39" t="s">
        <v>299</v>
      </c>
      <c r="AW3" s="39" t="s">
        <v>299</v>
      </c>
      <c r="AX3" s="39" t="s">
        <v>299</v>
      </c>
      <c r="AY3" s="39" t="s">
        <v>299</v>
      </c>
    </row>
    <row r="4" spans="1:51" ht="15">
      <c r="A4" t="s">
        <v>1367</v>
      </c>
      <c r="B4" t="s">
        <v>502</v>
      </c>
      <c r="C4" t="s">
        <v>412</v>
      </c>
      <c r="D4" t="s">
        <v>326</v>
      </c>
      <c r="E4" t="s">
        <v>644</v>
      </c>
      <c r="F4" t="s">
        <v>435</v>
      </c>
      <c r="G4" t="s">
        <v>439</v>
      </c>
      <c r="H4" t="s">
        <v>793</v>
      </c>
      <c r="I4" t="s">
        <v>437</v>
      </c>
      <c r="J4" t="s">
        <v>439</v>
      </c>
      <c r="K4" t="s">
        <v>313</v>
      </c>
      <c r="M4" t="s">
        <v>330</v>
      </c>
      <c r="N4" t="s">
        <v>703</v>
      </c>
      <c r="O4" t="s">
        <v>853</v>
      </c>
      <c r="P4" t="s">
        <v>356</v>
      </c>
      <c r="Q4" t="s">
        <v>919</v>
      </c>
      <c r="R4" t="s">
        <v>380</v>
      </c>
      <c r="S4" t="s">
        <v>816</v>
      </c>
      <c r="T4" t="s">
        <v>384</v>
      </c>
      <c r="U4" t="s">
        <v>572</v>
      </c>
      <c r="V4" t="s">
        <v>1078</v>
      </c>
      <c r="W4" t="s">
        <v>1080</v>
      </c>
      <c r="X4" t="s">
        <v>707</v>
      </c>
      <c r="Y4" t="s">
        <v>709</v>
      </c>
      <c r="Z4" t="s">
        <v>783</v>
      </c>
      <c r="AC4" t="s">
        <v>450</v>
      </c>
      <c r="AD4" t="s">
        <v>450</v>
      </c>
      <c r="AE4" t="s">
        <v>450</v>
      </c>
      <c r="AF4" t="s">
        <v>450</v>
      </c>
      <c r="AG4" t="s">
        <v>450</v>
      </c>
      <c r="AH4" t="s">
        <v>450</v>
      </c>
      <c r="AI4" t="s">
        <v>450</v>
      </c>
      <c r="AJ4" t="s">
        <v>538</v>
      </c>
      <c r="AK4" t="s">
        <v>450</v>
      </c>
      <c r="AL4" t="s">
        <v>450</v>
      </c>
      <c r="AM4" t="s">
        <v>450</v>
      </c>
      <c r="AN4" t="s">
        <v>450</v>
      </c>
      <c r="AO4" t="s">
        <v>450</v>
      </c>
      <c r="AP4" t="s">
        <v>766</v>
      </c>
      <c r="AQ4" t="s">
        <v>450</v>
      </c>
      <c r="AR4" t="s">
        <v>450</v>
      </c>
      <c r="AS4" t="s">
        <v>450</v>
      </c>
      <c r="AT4" t="s">
        <v>450</v>
      </c>
      <c r="AU4" t="s">
        <v>450</v>
      </c>
      <c r="AV4" t="s">
        <v>450</v>
      </c>
      <c r="AW4" t="s">
        <v>450</v>
      </c>
      <c r="AX4" t="s">
        <v>450</v>
      </c>
      <c r="AY4" t="s">
        <v>450</v>
      </c>
    </row>
    <row r="5" spans="1:42" ht="15">
      <c r="A5" t="s">
        <v>639</v>
      </c>
      <c r="B5" t="s">
        <v>642</v>
      </c>
      <c r="C5" t="s">
        <v>646</v>
      </c>
      <c r="D5" t="s">
        <v>517</v>
      </c>
      <c r="E5" t="s">
        <v>790</v>
      </c>
      <c r="F5" t="s">
        <v>646</v>
      </c>
      <c r="I5" t="s">
        <v>646</v>
      </c>
      <c r="J5" t="s">
        <v>274</v>
      </c>
      <c r="K5" t="s">
        <v>646</v>
      </c>
      <c r="M5" t="s">
        <v>464</v>
      </c>
      <c r="N5" t="s">
        <v>289</v>
      </c>
      <c r="O5" t="s">
        <v>289</v>
      </c>
      <c r="P5" t="s">
        <v>289</v>
      </c>
      <c r="Q5" t="s">
        <v>289</v>
      </c>
      <c r="R5" t="s">
        <v>289</v>
      </c>
      <c r="S5" t="s">
        <v>289</v>
      </c>
      <c r="T5" t="s">
        <v>289</v>
      </c>
      <c r="U5" t="s">
        <v>289</v>
      </c>
      <c r="V5" t="s">
        <v>1674</v>
      </c>
      <c r="W5" t="s">
        <v>1675</v>
      </c>
      <c r="X5" t="s">
        <v>289</v>
      </c>
      <c r="Y5" t="s">
        <v>289</v>
      </c>
      <c r="Z5" t="s">
        <v>289</v>
      </c>
      <c r="AJ5" t="s">
        <v>304</v>
      </c>
      <c r="AP5" t="s">
        <v>454</v>
      </c>
    </row>
    <row r="6" spans="1:26" ht="15">
      <c r="A6" t="s">
        <v>1676</v>
      </c>
      <c r="D6" t="s">
        <v>413</v>
      </c>
      <c r="J6" t="s">
        <v>606</v>
      </c>
      <c r="K6" t="s">
        <v>375</v>
      </c>
      <c r="M6" t="s">
        <v>549</v>
      </c>
      <c r="N6" t="s">
        <v>444</v>
      </c>
      <c r="O6" t="s">
        <v>1186</v>
      </c>
      <c r="P6" t="s">
        <v>1097</v>
      </c>
      <c r="Q6" t="s">
        <v>1457</v>
      </c>
      <c r="R6" t="s">
        <v>954</v>
      </c>
      <c r="S6" t="s">
        <v>382</v>
      </c>
      <c r="T6" t="s">
        <v>1326</v>
      </c>
      <c r="U6" t="s">
        <v>626</v>
      </c>
      <c r="V6" t="s">
        <v>318</v>
      </c>
      <c r="W6" t="s">
        <v>1677</v>
      </c>
      <c r="X6" t="s">
        <v>1678</v>
      </c>
      <c r="Y6" t="s">
        <v>958</v>
      </c>
      <c r="Z6" t="s">
        <v>1679</v>
      </c>
    </row>
    <row r="7" spans="4:26" ht="15">
      <c r="D7" t="s">
        <v>1680</v>
      </c>
      <c r="M7" t="s">
        <v>284</v>
      </c>
      <c r="N7" t="s">
        <v>1493</v>
      </c>
      <c r="O7" t="s">
        <v>1470</v>
      </c>
      <c r="P7" t="s">
        <v>1681</v>
      </c>
      <c r="Q7" t="s">
        <v>952</v>
      </c>
      <c r="R7" t="s">
        <v>1682</v>
      </c>
      <c r="S7" t="s">
        <v>531</v>
      </c>
      <c r="T7" t="s">
        <v>1683</v>
      </c>
      <c r="U7" t="s">
        <v>479</v>
      </c>
      <c r="V7" t="s">
        <v>1541</v>
      </c>
      <c r="W7" t="s">
        <v>1684</v>
      </c>
      <c r="X7" t="s">
        <v>1685</v>
      </c>
      <c r="Y7" t="s">
        <v>1686</v>
      </c>
      <c r="Z7" t="s">
        <v>1687</v>
      </c>
    </row>
    <row r="8" spans="14:26" ht="15">
      <c r="N8" t="s">
        <v>418</v>
      </c>
      <c r="O8" t="s">
        <v>1688</v>
      </c>
      <c r="P8" t="s">
        <v>467</v>
      </c>
      <c r="Q8" t="s">
        <v>1689</v>
      </c>
      <c r="R8" t="s">
        <v>1690</v>
      </c>
      <c r="S8" t="s">
        <v>1691</v>
      </c>
      <c r="T8" t="s">
        <v>1692</v>
      </c>
      <c r="U8" t="s">
        <v>1043</v>
      </c>
      <c r="V8" t="s">
        <v>1693</v>
      </c>
      <c r="W8" t="s">
        <v>1543</v>
      </c>
      <c r="X8" t="s">
        <v>1694</v>
      </c>
      <c r="Y8" t="s">
        <v>1695</v>
      </c>
      <c r="Z8" t="s">
        <v>1602</v>
      </c>
    </row>
    <row r="9" spans="14:26" ht="15">
      <c r="N9" t="s">
        <v>284</v>
      </c>
      <c r="O9" t="s">
        <v>284</v>
      </c>
      <c r="P9" t="s">
        <v>284</v>
      </c>
      <c r="Q9" t="s">
        <v>284</v>
      </c>
      <c r="R9" t="s">
        <v>284</v>
      </c>
      <c r="S9" t="s">
        <v>284</v>
      </c>
      <c r="T9" t="s">
        <v>284</v>
      </c>
      <c r="U9" t="s">
        <v>284</v>
      </c>
      <c r="V9" t="s">
        <v>334</v>
      </c>
      <c r="W9" t="s">
        <v>1696</v>
      </c>
      <c r="X9" t="s">
        <v>284</v>
      </c>
      <c r="Y9" t="s">
        <v>284</v>
      </c>
      <c r="Z9" t="s">
        <v>284</v>
      </c>
    </row>
    <row r="10" spans="22:23" ht="15">
      <c r="V10" t="s">
        <v>470</v>
      </c>
      <c r="W10" t="s">
        <v>1413</v>
      </c>
    </row>
    <row r="11" spans="22:23" ht="15">
      <c r="V11" t="s">
        <v>1697</v>
      </c>
      <c r="W11" t="s">
        <v>1698</v>
      </c>
    </row>
    <row r="12" spans="22:23" ht="15">
      <c r="V12" t="s">
        <v>718</v>
      </c>
      <c r="W12" t="s">
        <v>1014</v>
      </c>
    </row>
    <row r="13" spans="22:23" ht="15">
      <c r="V13" t="s">
        <v>1699</v>
      </c>
      <c r="W13" t="s">
        <v>1700</v>
      </c>
    </row>
    <row r="14" spans="22:23" ht="15">
      <c r="V14" t="s">
        <v>336</v>
      </c>
      <c r="W14" t="s">
        <v>336</v>
      </c>
    </row>
    <row r="15" spans="22:23" ht="15">
      <c r="V15" t="s">
        <v>362</v>
      </c>
      <c r="W15" t="s">
        <v>362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Universiteit van Amsterdam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Pas, Daphne van der</dc:creator>
  <cp:keywords/>
  <dc:description/>
  <cp:lastModifiedBy>Pas, Daphne van der</cp:lastModifiedBy>
  <dcterms:created xsi:type="dcterms:W3CDTF">2015-11-18T09:26:18Z</dcterms:created>
  <dcterms:modified xsi:type="dcterms:W3CDTF">2019-09-27T16:42:50Z</dcterms:modified>
  <cp:category/>
  <cp:version/>
  <cp:contentType/>
  <cp:contentStatus/>
</cp:coreProperties>
</file>